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5" yWindow="285" windowWidth="12120" windowHeight="9120" firstSheet="3" activeTab="8"/>
  </bookViews>
  <sheets>
    <sheet name="Приџ,прим vs Расх,изд" sheetId="1" state="hidden" r:id="rId1"/>
    <sheet name="РЕКАПИТУЛАЦИЈА" sheetId="2" r:id="rId2"/>
    <sheet name="ЗБИРНИ РАСХОДИ" sheetId="3" r:id="rId3"/>
    <sheet name="ЗБИРНИ ПРИХОДИ " sheetId="4" r:id="rId4"/>
    <sheet name="RACUN FINANSIRANJA" sheetId="5" r:id="rId5"/>
    <sheet name="ПРИХОДИ" sheetId="6" r:id="rId6"/>
    <sheet name="По основ. нам." sheetId="7" r:id="rId7"/>
    <sheet name="Програмска" sheetId="8" r:id="rId8"/>
    <sheet name="ПО КОРИСНИЦИМА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2" hidden="1">'ЗБИРНИ РАСХОДИ'!$A$1:$A$26</definedName>
    <definedName name="_xlnm._FilterDatabase" localSheetId="8" hidden="1">'ПО КОРИСНИЦИМА'!$F$1:$F$812</definedName>
    <definedName name="_xlnm._FilterDatabase" localSheetId="6" hidden="1">'По основ. нам.'!$A$1:$A$86</definedName>
    <definedName name="_xlfn.IFERROR" hidden="1">#NAME?</definedName>
    <definedName name="funkcija">'[4]Упутство'!$CO$1:$CO$138</definedName>
    <definedName name="isplate">'[3]sifarnik'!$A$200:$A$235</definedName>
    <definedName name="izvor">'[3]sifarnik'!$J$41:$J$45</definedName>
    <definedName name="ljkl" localSheetId="3">#REF!</definedName>
    <definedName name="ljkl" localSheetId="5">#REF!</definedName>
    <definedName name="ljkl">#REF!</definedName>
    <definedName name="meseci">'[3]sifarnik'!$A$15:$A$26</definedName>
    <definedName name="mesta">'[3]sifarnik'!$A$40:$A$191</definedName>
    <definedName name="odluka">'[3]sifarnik'!$J$49:$J$50</definedName>
    <definedName name="_xlnm.Print_Area" localSheetId="2">'ЗБИРНИ РАСХОДИ'!$A$1:$D$23</definedName>
    <definedName name="_xlnm.Print_Area" localSheetId="6">'По основ. нам.'!$A$1:$F$86</definedName>
    <definedName name="_xlnm.Print_Titles" localSheetId="3">'ЗБИРНИ ПРИХОДИ '!$2:$3</definedName>
    <definedName name="_xlnm.Print_Titles" localSheetId="2">'ЗБИРНИ РАСХОДИ'!$3:$4</definedName>
    <definedName name="_xlnm.Print_Titles" localSheetId="8">'ПО КОРИСНИЦИМА'!$2:$3</definedName>
    <definedName name="_xlnm.Print_Titles" localSheetId="6">'По основ. нам.'!$3:$4</definedName>
    <definedName name="_xlnm.Print_Titles" localSheetId="5">'ПРИХОДИ'!$2:$3</definedName>
    <definedName name="_xlnm.Print_Titles" localSheetId="7">'Програмска'!$1:$4</definedName>
    <definedName name="Ukupno_funkcionalna" localSheetId="3">#REF!</definedName>
    <definedName name="Ukupno_funkcionalna" localSheetId="5">#REF!</definedName>
    <definedName name="Ukupno_funkcionalna">#REF!</definedName>
    <definedName name="Ukupno_izdaci" localSheetId="4">'[5]По основ. нам.'!#REF!</definedName>
    <definedName name="Ukupno_izdaci" localSheetId="3">'[1]По основ. нам.'!$E$86</definedName>
    <definedName name="Ukupno_izdaci" localSheetId="2">'ЗБИРНИ РАСХОДИ'!#REF!</definedName>
    <definedName name="Ukupno_izdaci" localSheetId="5">'[1]По основ. нам.'!$E$86</definedName>
    <definedName name="Ukupno_izdaci">'По основ. нам.'!#REF!</definedName>
    <definedName name="WS">GET.WORKBOOK(1)</definedName>
    <definedName name="Извори_финансирања">'[4]Упутство'!$CX$2:$CX$18</definedName>
    <definedName name="ПА_24">'[4]Упутство'!$D$157:$F$157+'[4]Упутство'!$D$157:$F$157</definedName>
    <definedName name="Програми">'[4]Упутство'!$B$38:$B$54</definedName>
  </definedNames>
  <calcPr fullCalcOnLoad="1"/>
</workbook>
</file>

<file path=xl/comments6.xml><?xml version="1.0" encoding="utf-8"?>
<comments xmlns="http://schemas.openxmlformats.org/spreadsheetml/2006/main">
  <authors>
    <author/>
  </authors>
  <commentList>
    <comment ref="C55" authorId="0">
      <text>
        <r>
          <rPr>
            <b/>
            <sz val="8"/>
            <color indexed="8"/>
            <rFont val="Tahoma"/>
            <family val="2"/>
          </rPr>
          <t xml:space="preserve">lpa:
</t>
        </r>
        <r>
          <rPr>
            <sz val="8"/>
            <color indexed="8"/>
            <rFont val="Tahoma"/>
            <family val="2"/>
          </rPr>
          <t>50% se koristi za održavanje saobraćajne signalizacije ( Zakon o bezbednosti saobraćaja na putevima)</t>
        </r>
      </text>
    </comment>
  </commentList>
</comments>
</file>

<file path=xl/comments9.xml><?xml version="1.0" encoding="utf-8"?>
<comments xmlns="http://schemas.openxmlformats.org/spreadsheetml/2006/main">
  <authors>
    <author>LPA</author>
  </authors>
  <commentList>
    <comment ref="H43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 збир!</t>
        </r>
      </text>
    </comment>
    <comment ref="H524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40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131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562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575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571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666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601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641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 збир!</t>
        </r>
      </text>
    </comment>
    <comment ref="H141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111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100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58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61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 збир!</t>
        </r>
      </text>
    </comment>
    <comment ref="H164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174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181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186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118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195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206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227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237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247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250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300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310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322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333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390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398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406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418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428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437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457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468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472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482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277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  <comment ref="H285" authorId="0">
      <text>
        <r>
          <rPr>
            <b/>
            <sz val="9"/>
            <rFont val="Tahoma"/>
            <family val="2"/>
          </rPr>
          <t>LPA:</t>
        </r>
        <r>
          <rPr>
            <sz val="9"/>
            <rFont val="Tahoma"/>
            <family val="2"/>
          </rPr>
          <t xml:space="preserve">
проверити збир!</t>
        </r>
      </text>
    </comment>
  </commentList>
</comments>
</file>

<file path=xl/sharedStrings.xml><?xml version="1.0" encoding="utf-8"?>
<sst xmlns="http://schemas.openxmlformats.org/spreadsheetml/2006/main" count="1492" uniqueCount="902">
  <si>
    <t>Зграде и грађевински објекти-пројектовање</t>
  </si>
  <si>
    <t>Прграмска активност 0002:Одржавање путева</t>
  </si>
  <si>
    <t>Свега за Програмску активност 0701-0002:</t>
  </si>
  <si>
    <t>Извори финансирања за Програмску активност 0701-0002:</t>
  </si>
  <si>
    <t>Центар за социјални рад Бела Паланка</t>
  </si>
  <si>
    <t>Извршни и законодавни органи, финансијски и фискални послови и спољни послови</t>
  </si>
  <si>
    <t>Извршни и законодавни органи</t>
  </si>
  <si>
    <t>Опште услуге</t>
  </si>
  <si>
    <t>1.</t>
  </si>
  <si>
    <t>2.</t>
  </si>
  <si>
    <t>3.</t>
  </si>
  <si>
    <t>4.</t>
  </si>
  <si>
    <t>5.</t>
  </si>
  <si>
    <t>6.</t>
  </si>
  <si>
    <t>Р.бр.</t>
  </si>
  <si>
    <t>ОПИС</t>
  </si>
  <si>
    <t>Шифра економске класификације</t>
  </si>
  <si>
    <t>Средства из буџета</t>
  </si>
  <si>
    <t>I</t>
  </si>
  <si>
    <t>УКУПНИ ПРИХОДИ И ПРИМАЊА ОД ПРОДАЈЕ НЕФИНАНСИЈСКЕ ИМОВИНЕ</t>
  </si>
  <si>
    <t>7+8</t>
  </si>
  <si>
    <t>Порески приходи</t>
  </si>
  <si>
    <t>1.1.</t>
  </si>
  <si>
    <t>Порез на доходак, добит и капиталне добитке (осим самодоприноса)</t>
  </si>
  <si>
    <t>1.2.</t>
  </si>
  <si>
    <t>Самодопринос</t>
  </si>
  <si>
    <t>1.3.</t>
  </si>
  <si>
    <t>Порез на имовину</t>
  </si>
  <si>
    <t>1.6.</t>
  </si>
  <si>
    <t>Остали порески приходи</t>
  </si>
  <si>
    <t xml:space="preserve">Непорески приходи </t>
  </si>
  <si>
    <t>2.1</t>
  </si>
  <si>
    <t>Накнада за коришћење природних добара</t>
  </si>
  <si>
    <t>2.2</t>
  </si>
  <si>
    <t>Накнада за коришћење шумског и пољопривредног земљишта</t>
  </si>
  <si>
    <t>Накнада за коришћење грађевинског земљишта</t>
  </si>
  <si>
    <t>Накнада за коришћење природног лековитог фактора</t>
  </si>
  <si>
    <t>2.3</t>
  </si>
  <si>
    <t>Приход од имовине који припада имаоцима полисе осигурања</t>
  </si>
  <si>
    <t>2.4</t>
  </si>
  <si>
    <t>Накнада за обавезни здравствени преглед биља</t>
  </si>
  <si>
    <t>2.5</t>
  </si>
  <si>
    <t>Накнада за уређивање грађевинског земљишта</t>
  </si>
  <si>
    <t>2.6</t>
  </si>
  <si>
    <t>Приходи настали продајом услуга корисника средстава буџета јединице локлане самоуправе чије је пружање уговорено са физичким и правним лицима</t>
  </si>
  <si>
    <t>Остали непорески приходи</t>
  </si>
  <si>
    <t>Донације</t>
  </si>
  <si>
    <t>731+732</t>
  </si>
  <si>
    <t>Трансфери</t>
  </si>
  <si>
    <t>Меморандумске ставке за рефундацију расхода</t>
  </si>
  <si>
    <t>Примања од продаје нефинансијске имовине</t>
  </si>
  <si>
    <t>II</t>
  </si>
  <si>
    <t>УКУПНИ РАСХОДИ И ИЗДАЦИ ЗА НАБАВКУ НЕФИНАНСИЈСКЕ ИМОВИНЕ</t>
  </si>
  <si>
    <t>4+5</t>
  </si>
  <si>
    <t>Текући расходи</t>
  </si>
  <si>
    <t>4 - 463</t>
  </si>
  <si>
    <t>Расходи за запослене</t>
  </si>
  <si>
    <t>Коришћење роба и услуга</t>
  </si>
  <si>
    <t>Употреба основних средстава</t>
  </si>
  <si>
    <t>1.4.</t>
  </si>
  <si>
    <t>Отплата камата</t>
  </si>
  <si>
    <t>1.5.</t>
  </si>
  <si>
    <t>Субвенције</t>
  </si>
  <si>
    <t>Социјална заштита из буџета</t>
  </si>
  <si>
    <t>1.7.</t>
  </si>
  <si>
    <t>Остали расходи</t>
  </si>
  <si>
    <t>48+49</t>
  </si>
  <si>
    <t>Издаци за набавку нефинансијске имовине</t>
  </si>
  <si>
    <t>Издаци за набавку финансијске имовине (осим 6211)</t>
  </si>
  <si>
    <t>III</t>
  </si>
  <si>
    <t>ПРИМАЊА ОД ПРОДАЈЕ ФИНАНСИЈСКЕ ИМОВИНЕ И ЗАДУЖИВАЊА</t>
  </si>
  <si>
    <t>Задуживање</t>
  </si>
  <si>
    <t>Општи економски и комерцијални послови</t>
  </si>
  <si>
    <t>Пољопривреда</t>
  </si>
  <si>
    <t>Друмски саобраћај</t>
  </si>
  <si>
    <t>Туризам</t>
  </si>
  <si>
    <t>Управљање отпадним водама</t>
  </si>
  <si>
    <t>Развој заједнице</t>
  </si>
  <si>
    <t>Водоснабдевање</t>
  </si>
  <si>
    <t>Улична расвета</t>
  </si>
  <si>
    <t>Послови становања и заједнице некласификовани на другом месту</t>
  </si>
  <si>
    <t>Услуге јавног здравства</t>
  </si>
  <si>
    <t>Услуге рекреације и спорта</t>
  </si>
  <si>
    <t>Услуге културе</t>
  </si>
  <si>
    <t>Предшколско образовање</t>
  </si>
  <si>
    <t>Основно образовање</t>
  </si>
  <si>
    <t>Средње образовање</t>
  </si>
  <si>
    <t>01</t>
  </si>
  <si>
    <t>Приходи из буџета</t>
  </si>
  <si>
    <t>04</t>
  </si>
  <si>
    <t>Сопствени приходи буџетских корисника</t>
  </si>
  <si>
    <t>Табела 4.</t>
  </si>
  <si>
    <t>`</t>
  </si>
  <si>
    <t xml:space="preserve">Распоред средстава по програмима који се спроводе у скалду са Законом о безбедности саобраћаја </t>
  </si>
  <si>
    <t>Накнада штете за повреде или штету нанету од стране државних органа у складу са Законом  о ванредним ситуацијама</t>
  </si>
  <si>
    <t>ПРЕДСЕДНИК ОПШТИНЕ</t>
  </si>
  <si>
    <t>ОПШТИНСКО ВЕЋЕ</t>
  </si>
  <si>
    <t xml:space="preserve"> Набавка земљиштa</t>
  </si>
  <si>
    <t>Субвенције приватним предузећима-по конкурсу</t>
  </si>
  <si>
    <t>Извори финансирања за Главу 3.03:</t>
  </si>
  <si>
    <t>ПРЕДШКОЛСКА УСТАНОВА</t>
  </si>
  <si>
    <t>ЈКП Комнис</t>
  </si>
  <si>
    <t>Основна школа *Љупче Шпанац*</t>
  </si>
  <si>
    <t>Средња стручна школа</t>
  </si>
  <si>
    <t>Дом здравља Бела Паланка</t>
  </si>
  <si>
    <t>Народна библиотека Бела Паланка</t>
  </si>
  <si>
    <t>Спортски клубови</t>
  </si>
  <si>
    <t>Отплата камата по гаранцијама</t>
  </si>
  <si>
    <t>Пратећи трошкови задуживања</t>
  </si>
  <si>
    <t>450</t>
  </si>
  <si>
    <t>СУБВЕНЦИЈЕ</t>
  </si>
  <si>
    <t>Субвенције приватним финансијским институцијама;</t>
  </si>
  <si>
    <t>Субвенције јавним финансијским институцијама;</t>
  </si>
  <si>
    <t>Субвенције приватним предузећима</t>
  </si>
  <si>
    <t>460</t>
  </si>
  <si>
    <t xml:space="preserve">Донације страним владама </t>
  </si>
  <si>
    <t>Донације и дотације међународним организацијама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</si>
  <si>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</si>
  <si>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</si>
  <si>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</t>
  </si>
  <si>
    <t xml:space="preserve">Остале донације, дотације и трансфери </t>
  </si>
  <si>
    <t>470</t>
  </si>
  <si>
    <t>СОЦИЈАЛНА ПОМОЋ</t>
  </si>
  <si>
    <t>Накнаде за социјалну заштиту из буџета</t>
  </si>
  <si>
    <t>480</t>
  </si>
  <si>
    <t>ОСТАЛИ РАСХОДИ</t>
  </si>
  <si>
    <t>Дотације невладиним организацијама;</t>
  </si>
  <si>
    <t>Порези, обавезне таксе, казне и пенали;</t>
  </si>
  <si>
    <t>Новчане казне и пенали по решењу судова;</t>
  </si>
  <si>
    <t>Накнада штете за повреде или штету насталу услед елементарних непогода или других природних узрока;</t>
  </si>
  <si>
    <t>Накнада штете за повреде или штету нанету од стране државних органа;</t>
  </si>
  <si>
    <t>Расходи који се финансирају из средстава за реализацију националног инвестиционог плана</t>
  </si>
  <si>
    <t>АДМИНИСТРАТИВНИ ТРАНСФЕРИ БУЏЕТА</t>
  </si>
  <si>
    <t>Стална резерва</t>
  </si>
  <si>
    <t>49912</t>
  </si>
  <si>
    <t>Текућа резерва</t>
  </si>
  <si>
    <t>510</t>
  </si>
  <si>
    <t>ОСНОВНА СРЕДСТВА</t>
  </si>
  <si>
    <t>Зграде и грађевински објекти;</t>
  </si>
  <si>
    <t>Машине и опрема;</t>
  </si>
  <si>
    <t xml:space="preserve"> Остале некретнине и опрема;</t>
  </si>
  <si>
    <t>Култивисана имовина;</t>
  </si>
  <si>
    <t>Нематеријална имовина</t>
  </si>
  <si>
    <t>520</t>
  </si>
  <si>
    <t>ЗАЛИХЕ</t>
  </si>
  <si>
    <t>Робне резерве;</t>
  </si>
  <si>
    <t>Залихе производње;</t>
  </si>
  <si>
    <t>Залихе робе за даљу продају</t>
  </si>
  <si>
    <t>540</t>
  </si>
  <si>
    <t>ПРИРОДНА ИМОВИНА</t>
  </si>
  <si>
    <t>Земљиште;</t>
  </si>
  <si>
    <t>Рудна богатства;</t>
  </si>
  <si>
    <t>Шуме и воде</t>
  </si>
  <si>
    <t>Неф. Имов. која се фин. из сред. за реализ. нип-а</t>
  </si>
  <si>
    <t>Неф. имовина која се фин. из сред. за реализ. нип-а</t>
  </si>
  <si>
    <t>610</t>
  </si>
  <si>
    <t xml:space="preserve">ОТПЛАТА ГЛАВНИЦЕ </t>
  </si>
  <si>
    <t>611</t>
  </si>
  <si>
    <t>Отплата главнице домаћим кредиторима</t>
  </si>
  <si>
    <t>612</t>
  </si>
  <si>
    <t>Отплата главнице страним банкама</t>
  </si>
  <si>
    <t>613</t>
  </si>
  <si>
    <t>620</t>
  </si>
  <si>
    <t>621</t>
  </si>
  <si>
    <t>Набавка домаће фин. Имовине</t>
  </si>
  <si>
    <t xml:space="preserve">УКУПНИ ЈАВНИ РАСХОДИ </t>
  </si>
  <si>
    <t>4512</t>
  </si>
  <si>
    <t>452</t>
  </si>
  <si>
    <t>040</t>
  </si>
  <si>
    <t>070</t>
  </si>
  <si>
    <t>090</t>
  </si>
  <si>
    <t>Опште јавне услуге некласификоване на другом месту;</t>
  </si>
  <si>
    <t>400</t>
  </si>
  <si>
    <t>500</t>
  </si>
  <si>
    <t>Праћење квалитета елемената животне средине</t>
  </si>
  <si>
    <t>0401-0004</t>
  </si>
  <si>
    <t>Одржавање путева</t>
  </si>
  <si>
    <t xml:space="preserve">Функционисање предшколских установа </t>
  </si>
  <si>
    <t>Функционисање основних школа</t>
  </si>
  <si>
    <t>Функционисање средњих школа</t>
  </si>
  <si>
    <t>0101-0002</t>
  </si>
  <si>
    <t>1502-0001</t>
  </si>
  <si>
    <t>0101-0001</t>
  </si>
  <si>
    <t>2002-0001</t>
  </si>
  <si>
    <t>0901-0001</t>
  </si>
  <si>
    <t>Социјалне помоћи</t>
  </si>
  <si>
    <t>0901-0002</t>
  </si>
  <si>
    <t>Прихватилишта, прихватне станице и друге врсте смештаја</t>
  </si>
  <si>
    <t>0901-0003</t>
  </si>
  <si>
    <t>Подршка социо-хуманитарним организацијама</t>
  </si>
  <si>
    <t>0901-0004</t>
  </si>
  <si>
    <t>Саветодавно-терапијске и социјално-едукативне услуге</t>
  </si>
  <si>
    <t>0901-0005</t>
  </si>
  <si>
    <t>Активности Црвеног крста</t>
  </si>
  <si>
    <t>Функционисање установа примарне здравствене заштите</t>
  </si>
  <si>
    <t xml:space="preserve">Функционисање локалних установа културе </t>
  </si>
  <si>
    <t>1201-0001</t>
  </si>
  <si>
    <t>1201-0002</t>
  </si>
  <si>
    <t>1801-0001</t>
  </si>
  <si>
    <t>1301-0001</t>
  </si>
  <si>
    <t>Подршка локалним спортским организацијама, удружењима и савезима</t>
  </si>
  <si>
    <t>1301-0002</t>
  </si>
  <si>
    <t>1301-0003</t>
  </si>
  <si>
    <t>Одржавање спортске инфраструктуре</t>
  </si>
  <si>
    <t>0602-0001</t>
  </si>
  <si>
    <t>Функционисање локалне самоуправе и градских општина</t>
  </si>
  <si>
    <t>0602-0002</t>
  </si>
  <si>
    <t>0602-0003</t>
  </si>
  <si>
    <t>Управљање јавним дугом</t>
  </si>
  <si>
    <t>0602-0009</t>
  </si>
  <si>
    <t>0602-0010</t>
  </si>
  <si>
    <t>0701-0001</t>
  </si>
  <si>
    <t xml:space="preserve"> Програмска активност/  Пројекат</t>
  </si>
  <si>
    <t>Назив</t>
  </si>
  <si>
    <t xml:space="preserve">УКУПНИ ПРОГРАМСКИ ЈАВНИ РАСХОДИ </t>
  </si>
  <si>
    <t>Раздео</t>
  </si>
  <si>
    <t>Глава</t>
  </si>
  <si>
    <t>Позиција</t>
  </si>
  <si>
    <t>Економ. Класиф.</t>
  </si>
  <si>
    <t>Укупно</t>
  </si>
  <si>
    <t>3</t>
  </si>
  <si>
    <t>ПРОГРАМ 15 - ЛОКАЛНА САМОУПРАВА</t>
  </si>
  <si>
    <t>Плате, додаци и накнаде запослених (зараде)</t>
  </si>
  <si>
    <t>Накнаде у натури</t>
  </si>
  <si>
    <t>Административни трансфери из буџета - Текући расходи</t>
  </si>
  <si>
    <t>Административни трансфери из буџета - Издаци за нефинансијску имовину</t>
  </si>
  <si>
    <t>Административни трансфери из буџета - Издаци за отплату главнице и набавку финансијске имовине</t>
  </si>
  <si>
    <t>Административни трансфери из буџета - Средства резерве</t>
  </si>
  <si>
    <t>Драгоцености</t>
  </si>
  <si>
    <t>Накнаде трошкова за запослене</t>
  </si>
  <si>
    <t>Награде запосленима и остали посебни расходи</t>
  </si>
  <si>
    <t>Текуће поправке и одржавање</t>
  </si>
  <si>
    <t>Отплата домаћих камата</t>
  </si>
  <si>
    <t>Дотације невладиним организацијама</t>
  </si>
  <si>
    <t>Порези, обавезне таксе, казне и пенали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</si>
  <si>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</si>
  <si>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</si>
  <si>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Зграде и грађевински објекти</t>
  </si>
  <si>
    <t>Машине и опрема</t>
  </si>
  <si>
    <t>Средства из осталих извора</t>
  </si>
  <si>
    <t>Екон. клас.</t>
  </si>
  <si>
    <t>ВРСТЕ РАСХОДА И ИЗДАТАКА</t>
  </si>
  <si>
    <t>1</t>
  </si>
  <si>
    <t>410</t>
  </si>
  <si>
    <t>РАСХОДИ ЗА ЗАПОСЛЕНЕ</t>
  </si>
  <si>
    <t xml:space="preserve">                                     </t>
  </si>
  <si>
    <t>СКУПШТИНА ОПШТИНЕ</t>
  </si>
  <si>
    <t xml:space="preserve">Програмска активност 001:Функционисање локалне самоуправе </t>
  </si>
  <si>
    <t xml:space="preserve">ОПШТИНСКА УПРАВА </t>
  </si>
  <si>
    <t>Дотације невладиним организацијама-редован рад политичких странака</t>
  </si>
  <si>
    <t>ТУРИСТИЧКА ОРГАНИЗАЦИЈА БЕЛА ПАЛАНКА</t>
  </si>
  <si>
    <t>Култура,комуникације и медији</t>
  </si>
  <si>
    <t>Свега за Програмску активност 1201-0001:</t>
  </si>
  <si>
    <t>Извори финансирања за Програмску активност 1201-0001:</t>
  </si>
  <si>
    <t>Извори финансирања за Програмску активност 1201-0002:</t>
  </si>
  <si>
    <t>Свега за Програмску активност 1201-0002:</t>
  </si>
  <si>
    <t>Култура, комуникације и медији</t>
  </si>
  <si>
    <t>Програмска активност 0001:Функционисање установа примарне здравствене заштите</t>
  </si>
  <si>
    <t>Програмска активност 0001:Подршка локалним спортским организацијама, удружењима и савезима</t>
  </si>
  <si>
    <t>Програмска активност 0002:Подршка предшколском, школском и рекреативном спорту и масовној физичкој култури</t>
  </si>
  <si>
    <t>Програмска активност 0001:Функционисање средњих школа</t>
  </si>
  <si>
    <t>Програмска активност 0001:Функционисање предшколских установа</t>
  </si>
  <si>
    <t xml:space="preserve">Програмска активност 0001:Функционисање локалних установа културе </t>
  </si>
  <si>
    <t>Програмска активност 0001:Управљањем развојем туризма</t>
  </si>
  <si>
    <t>Програмска  активност 0001:Социјалне помоћи</t>
  </si>
  <si>
    <t>Дератизација и дезинсекција</t>
  </si>
  <si>
    <t>Мртвозорство</t>
  </si>
  <si>
    <t>Рекреација, спорт, култура и вере, некласификовано на другом месту-намењено промоцији општине и манифестацијама</t>
  </si>
  <si>
    <t>Програмска активност 0001:Функционисање основних школа</t>
  </si>
  <si>
    <t>Износи финансирања за Програмску активност 0602-0003:</t>
  </si>
  <si>
    <t>Износи финансирања за функцију 130:</t>
  </si>
  <si>
    <t>Износи финансирања за Програмску активност 0602-0001:</t>
  </si>
  <si>
    <t>Извори финансирања за Главу2:</t>
  </si>
  <si>
    <t>Свега за Програмску активност 1502-0001:</t>
  </si>
  <si>
    <t>Програмске активности 0002:Подстицаји културном и уметничком стваралаштву</t>
  </si>
  <si>
    <t>Свега за Програмску активност 0901-0001:</t>
  </si>
  <si>
    <t>Функција 130:</t>
  </si>
  <si>
    <t>Програм 8.  Предшколско васпитање</t>
  </si>
  <si>
    <t>Програм 9.  Основно образовање</t>
  </si>
  <si>
    <t>Програм 10. Средње образовање</t>
  </si>
  <si>
    <t>Програм 11.  Социјална  и дечја заштита</t>
  </si>
  <si>
    <t>Програм 12.  Примарна здравствена заштита</t>
  </si>
  <si>
    <t>Програм 13.  Развој културе</t>
  </si>
  <si>
    <t>Програм 14.  Развој спорта и омладине</t>
  </si>
  <si>
    <t>Програм 15.  Локална самоуправа</t>
  </si>
  <si>
    <t>ДОНАЦИЈЕ И ТРАНСФЕРИ</t>
  </si>
  <si>
    <t>Плате и додаци запослених</t>
  </si>
  <si>
    <t>Социјални доприноси на терет послодавца</t>
  </si>
  <si>
    <t>Накнаде у натури (превоз)</t>
  </si>
  <si>
    <t>414</t>
  </si>
  <si>
    <t>Социјална давања запосленима</t>
  </si>
  <si>
    <t>415</t>
  </si>
  <si>
    <t>Накнаде за запослене</t>
  </si>
  <si>
    <t>416</t>
  </si>
  <si>
    <t>Награде,бонуси и остали посебни расходи</t>
  </si>
  <si>
    <t>Посланички додатак;</t>
  </si>
  <si>
    <t>420</t>
  </si>
  <si>
    <t>КОРИШЋЕЊЕ УСЛУГА И РОБА</t>
  </si>
  <si>
    <t>421</t>
  </si>
  <si>
    <t>Стални трошкови</t>
  </si>
  <si>
    <t>Трошкови путовања</t>
  </si>
  <si>
    <t>Услуге по уговору</t>
  </si>
  <si>
    <t>424</t>
  </si>
  <si>
    <t>Специјализоване услуге</t>
  </si>
  <si>
    <t>425</t>
  </si>
  <si>
    <t>Текуће поправке и одржавање (услуге и мат)</t>
  </si>
  <si>
    <t>426</t>
  </si>
  <si>
    <t>Материјал</t>
  </si>
  <si>
    <t>430</t>
  </si>
  <si>
    <t>УПОТРЕБА ОСНОВНИХ СРЕДСТАВА</t>
  </si>
  <si>
    <t>Амортизација некретнина и опреме;</t>
  </si>
  <si>
    <t>Амортизација култивисане имовине;</t>
  </si>
  <si>
    <t>Употреба драгоцености;</t>
  </si>
  <si>
    <t>Употреба природне имовине;</t>
  </si>
  <si>
    <t>Амортизација нематеријалне имовине</t>
  </si>
  <si>
    <t>440</t>
  </si>
  <si>
    <t>ОТПЛАТА КАМАТА</t>
  </si>
  <si>
    <t>Отплата домаћих камата;</t>
  </si>
  <si>
    <t>Отплата страних камата;</t>
  </si>
  <si>
    <t>1501-0001</t>
  </si>
  <si>
    <t>1501-0002</t>
  </si>
  <si>
    <t>1501-0003</t>
  </si>
  <si>
    <t>Подстицаји за развој предузетништва</t>
  </si>
  <si>
    <t>1501-0004</t>
  </si>
  <si>
    <t>Управљање развојем туризма</t>
  </si>
  <si>
    <t>Туристичка промоција</t>
  </si>
  <si>
    <t>0401-0001</t>
  </si>
  <si>
    <t>0401-0002</t>
  </si>
  <si>
    <t>Управљање комуналним отпадом</t>
  </si>
  <si>
    <t>0401-0003</t>
  </si>
  <si>
    <t>МЕСНЕ ЗАЈЕДНИЦЕ</t>
  </si>
  <si>
    <t>ПРОГРАМ 4 - РАЗВОЈ ТУРИЗМА</t>
  </si>
  <si>
    <t>Извори финансирања за Програмску активност 1502-0001:</t>
  </si>
  <si>
    <t>Функција 110:</t>
  </si>
  <si>
    <t>Социјална помоћ некласификована на другом месту</t>
  </si>
  <si>
    <t>1502-0002</t>
  </si>
  <si>
    <t>Извори финансирања за Програмску активност 1502-0002:</t>
  </si>
  <si>
    <t>ПРОГРАМ 2 - КОМУНАЛНА ДЕЛАТНОСТ</t>
  </si>
  <si>
    <t>Свега за Програм 2:</t>
  </si>
  <si>
    <t>ПРОГРАМ 14 - РАЗВОЈ СПОРТА И ОМЛАДИНЕ</t>
  </si>
  <si>
    <t>Функција 810:</t>
  </si>
  <si>
    <t>ПРОГРАМ 13 - РАЗВОЈ КУЛТУРЕ</t>
  </si>
  <si>
    <t>Извори финансирања за Програм 13:</t>
  </si>
  <si>
    <t>Свега за Програм 13:</t>
  </si>
  <si>
    <t>ПРОГРАМ 8 - ПРЕДШКОЛСКО ОБРАЗОВАЊЕ</t>
  </si>
  <si>
    <t>2001-0001</t>
  </si>
  <si>
    <t>ПРОГРАМ 10 - СРЕДЊЕ ОБРАЗОВАЊЕ</t>
  </si>
  <si>
    <t>2003-0001</t>
  </si>
  <si>
    <t>Извори финансирања за функцију 110:</t>
  </si>
  <si>
    <t>Извори финансирања за функцију 620:</t>
  </si>
  <si>
    <t>Функција 620:</t>
  </si>
  <si>
    <t>Извори финансирања за програмску активност 1101-0001:</t>
  </si>
  <si>
    <t>740</t>
  </si>
  <si>
    <t>810</t>
  </si>
  <si>
    <t>Програм</t>
  </si>
  <si>
    <t>2</t>
  </si>
  <si>
    <t xml:space="preserve">1101-0001  </t>
  </si>
  <si>
    <t>ПРОГРАМ 11: СОЦИЈАЛНА И ДЕЧЈА ЗАШТИТА</t>
  </si>
  <si>
    <t>Извори финансирања за Програмску активност 0901-0001:</t>
  </si>
  <si>
    <t>Извори финансирања за Програмску активност 0901-0005:</t>
  </si>
  <si>
    <t>Свега за Програмску активност 0901-0005:</t>
  </si>
  <si>
    <t>ПРОГРАМ 12: ПРИМАРНА ЗДРАВСТВЕНА ЗАШТИТА</t>
  </si>
  <si>
    <t>Извори финансирања за Програмску активност 1801-0001:</t>
  </si>
  <si>
    <t>Свега за Програмску активност 1801-0001:</t>
  </si>
  <si>
    <t>ПРОГРАМ 3: ЛОКАЛНИ ЕКОНОМСКИ РАЗВОЈ</t>
  </si>
  <si>
    <t>Извори финансирања за функцију 820:</t>
  </si>
  <si>
    <t>Функција 820:</t>
  </si>
  <si>
    <t>Извори финансирања за програмску активност 1201-0001:</t>
  </si>
  <si>
    <t>Свега за програмску активност 1201-0001:</t>
  </si>
  <si>
    <t>1201-0003</t>
  </si>
  <si>
    <t>Извори финансирања за функцију 911:</t>
  </si>
  <si>
    <t>Функција 911:</t>
  </si>
  <si>
    <t>Извори финансирања за функцију 912:</t>
  </si>
  <si>
    <t>Функција 912:</t>
  </si>
  <si>
    <t>Извори финансирања за програмску активност 2003-0001:</t>
  </si>
  <si>
    <t>Свега за програмску активност 2003-0001:</t>
  </si>
  <si>
    <t>Извори финансирања за програмску активност 2002-0001:</t>
  </si>
  <si>
    <t>Свега за програмску активност 2002-0001:</t>
  </si>
  <si>
    <t>Извори финансирања за програмску активност 2001-0001:</t>
  </si>
  <si>
    <t>Свега за програмску активност 2001-0001:</t>
  </si>
  <si>
    <t>ТЕКУЋИ РАСХОДИ</t>
  </si>
  <si>
    <t>КАПИТАЛНИ ИЗДАЦИ</t>
  </si>
  <si>
    <t>0701-0002</t>
  </si>
  <si>
    <t>1101-0001</t>
  </si>
  <si>
    <t>1101-0002</t>
  </si>
  <si>
    <t>Свега за програмску активност 1101-0001:</t>
  </si>
  <si>
    <t>Функција 411:</t>
  </si>
  <si>
    <t>Извори финансирања за програмску активност 1501-0001:</t>
  </si>
  <si>
    <t>Извори финансирања за функцију 421:</t>
  </si>
  <si>
    <t>Функција 421:</t>
  </si>
  <si>
    <t>Функција 451:</t>
  </si>
  <si>
    <t>Извори финансирања за функцију 451:</t>
  </si>
  <si>
    <t>Извори финансирања за функцију 070:</t>
  </si>
  <si>
    <t>Функција 070:</t>
  </si>
  <si>
    <t>Извори финансирања за функцију 090:</t>
  </si>
  <si>
    <t>Функција 090:</t>
  </si>
  <si>
    <t>2001-П1</t>
  </si>
  <si>
    <t>1101</t>
  </si>
  <si>
    <t>1501</t>
  </si>
  <si>
    <t>1502</t>
  </si>
  <si>
    <t>0101</t>
  </si>
  <si>
    <t>0401</t>
  </si>
  <si>
    <t>0701</t>
  </si>
  <si>
    <t>2001</t>
  </si>
  <si>
    <t>2002</t>
  </si>
  <si>
    <t>2003</t>
  </si>
  <si>
    <t>0901</t>
  </si>
  <si>
    <t>НАРОДНА БИБЛИОТЕКА "Вук Караџић"</t>
  </si>
  <si>
    <t>ПРЕДШКОЛСКА УСТАНОВА  "ДРАГИЦА ЛАЛОВИЋ"</t>
  </si>
  <si>
    <t>Функција :Породица и деца</t>
  </si>
  <si>
    <t>Функција 040:</t>
  </si>
  <si>
    <t>Функција 360:</t>
  </si>
  <si>
    <t>Функција 860:</t>
  </si>
  <si>
    <t>Свега за програмску активност 1201-0002:</t>
  </si>
  <si>
    <t>1201-0004</t>
  </si>
  <si>
    <t>Извори финансирања за Главу 8:</t>
  </si>
  <si>
    <t>Дотације невладиним организацијама-финансирање по конкурсу</t>
  </si>
  <si>
    <t>Програмске активности 0001:Функционисање локалних установа културе</t>
  </si>
  <si>
    <t xml:space="preserve">ПРОГРАМ 14: РАЗВОЈ СПОРТА И ОМЛАДИНЕ
</t>
  </si>
  <si>
    <t>Спорт и омладина</t>
  </si>
  <si>
    <t>Месне заједнице</t>
  </si>
  <si>
    <t>Програм 1.  Локални развој и просторно планирање</t>
  </si>
  <si>
    <t>Програм 2.  Комунална делатност</t>
  </si>
  <si>
    <t>Програм 3.  Локални економски развој</t>
  </si>
  <si>
    <t>Програм 4.  Развој туризма</t>
  </si>
  <si>
    <t>Програм 5.  Развој пољопривреде</t>
  </si>
  <si>
    <t>Програм 6.  Заштита животне средине</t>
  </si>
  <si>
    <t>Програм 7.  Путна инфраструктура</t>
  </si>
  <si>
    <t>Извори финансирања за функцију 740:</t>
  </si>
  <si>
    <t>Функција 740:</t>
  </si>
  <si>
    <t>Извори финансирања за функцију 810:</t>
  </si>
  <si>
    <t>Извори финансирања за Програмску активност 1301-0001:</t>
  </si>
  <si>
    <t>Свега за Програмску активност 1301-0001:</t>
  </si>
  <si>
    <t>Извори финансирања за Програмску активност 1301-0002:</t>
  </si>
  <si>
    <t>Свега за Програмску активност 1301-0002:</t>
  </si>
  <si>
    <t>Извори финансирања за функцију 170:</t>
  </si>
  <si>
    <t>Функција 170:</t>
  </si>
  <si>
    <t>Услуге емитовања и издаваштва</t>
  </si>
  <si>
    <t>Извори финансирања за функцију 830:</t>
  </si>
  <si>
    <t>Функција 830:</t>
  </si>
  <si>
    <t>Извори финансирања за функцију 160:</t>
  </si>
  <si>
    <t>Функција 160:</t>
  </si>
  <si>
    <t>Свега за Програмску активност 0602-0002:</t>
  </si>
  <si>
    <t>Извори финансирања за функцију 473:</t>
  </si>
  <si>
    <t>Функција 473:</t>
  </si>
  <si>
    <t>Свега за Програмску активност 1502-0002:</t>
  </si>
  <si>
    <t>Функција 630:</t>
  </si>
  <si>
    <t>Извори финансирања за функцију 510:</t>
  </si>
  <si>
    <t>Функција 510:</t>
  </si>
  <si>
    <t>Извори финансирања за функцију 660:</t>
  </si>
  <si>
    <t>Функција 660:</t>
  </si>
  <si>
    <t>Извори финансирања за функцију 640:</t>
  </si>
  <si>
    <t>Функција 640:</t>
  </si>
  <si>
    <t>Извори финансирања за програмску активност 0601-0001:</t>
  </si>
  <si>
    <t>Свега за Програмску активност 0602-0001:</t>
  </si>
  <si>
    <t>Свега за Програмску активност 0602-0003:</t>
  </si>
  <si>
    <t>Функција: Социјална заштита некласификована на другом месту</t>
  </si>
  <si>
    <t>Свега за Програм 1:</t>
  </si>
  <si>
    <t>ПРОГРАМ 5: РАЗВОЈ ПОЉОПРИВРЕДЕ</t>
  </si>
  <si>
    <t>Извори финансирања за Програмску активност 0101-0001:</t>
  </si>
  <si>
    <t>Свега за Програмску активност 0101-0001:</t>
  </si>
  <si>
    <t>Извори финансирања за Програмску активност 0101-0002:</t>
  </si>
  <si>
    <t>Свега за Програмску активност 0101-0002:</t>
  </si>
  <si>
    <t>Свега за Програм 5:</t>
  </si>
  <si>
    <t>ПРОГРАМ 6: ЗАШТИТА ЖИВОТНЕ СРЕДИНЕ</t>
  </si>
  <si>
    <t>Накнаде за социјалну заштиту из буџета-средства комесаријата за економско оснаживање породице</t>
  </si>
  <si>
    <t>Распоред средстава по конкурсу за финансирање рада непрофитних организација и удружења са територије општине Бела Паланка</t>
  </si>
  <si>
    <t>1801</t>
  </si>
  <si>
    <t>1201</t>
  </si>
  <si>
    <t>1301</t>
  </si>
  <si>
    <t>0602</t>
  </si>
  <si>
    <t>Шифра</t>
  </si>
  <si>
    <t xml:space="preserve">Капиталне субвенције јавним нефинансијским предузећима и организацијама                                                                </t>
  </si>
  <si>
    <t>Опис</t>
  </si>
  <si>
    <t>Текући дотације здравственим установама</t>
  </si>
  <si>
    <t>Капитални дотације здравственим установама</t>
  </si>
  <si>
    <t xml:space="preserve">Текуће субвенције јавним нефинансијским предузећима и организацијама                                                                </t>
  </si>
  <si>
    <t>Задуживање код домаћих кредитора</t>
  </si>
  <si>
    <t>Задуживање код страних кредитора</t>
  </si>
  <si>
    <t>Примања по основу отплате кредита и продаје финансијске имовине</t>
  </si>
  <si>
    <t>IV</t>
  </si>
  <si>
    <t>ОТПЛАТА ДУГА И НАБАВКА ФИНАНСИЈСКЕ ИМОВИНЕ</t>
  </si>
  <si>
    <t>Отплата дуга</t>
  </si>
  <si>
    <t>Отплата дуга домаћим кредиторима</t>
  </si>
  <si>
    <t>Отплата дуга страним кредиторима</t>
  </si>
  <si>
    <t>Отплата дуга по гаранцијама</t>
  </si>
  <si>
    <t>Набавка финансијске имовине</t>
  </si>
  <si>
    <t>V</t>
  </si>
  <si>
    <t>НЕРАСПОРЕЂЕНИ ВИШАК ПРИХОДА ИЗ РАНИЈИХ ГОДИНА</t>
  </si>
  <si>
    <t>2.7</t>
  </si>
  <si>
    <t>2.8</t>
  </si>
  <si>
    <t>Извори финансирања:</t>
  </si>
  <si>
    <t>Класа/Категорија/Група</t>
  </si>
  <si>
    <t>Конто</t>
  </si>
  <si>
    <t>ВРСТЕ ПРИХОДА И ПРИМАЊА</t>
  </si>
  <si>
    <t>Пренета средства из претходне године</t>
  </si>
  <si>
    <t>700000</t>
  </si>
  <si>
    <t xml:space="preserve">ТЕКУЋИ ПРИХОДИ </t>
  </si>
  <si>
    <t>ПОРЕЗИ</t>
  </si>
  <si>
    <t>ПОРЕЗ НА ДОХОДАК, ДОБИТ И КАПИТАЛНЕ ДОБИТКЕ</t>
  </si>
  <si>
    <t>Порез на зараде</t>
  </si>
  <si>
    <t>Порез на приходе од самосталних делатности који се плаћа према стварно оствареном приходу, по решењу Пореске управе</t>
  </si>
  <si>
    <t>Порез на приходе од самосталних делатности који се плаћа према паушално утврђеном приходу, по решењу Пореске управе</t>
  </si>
  <si>
    <t>Порез на приходе од самосталних делатности који се плаћа према стварно оствареном приходу самоопорезивањем</t>
  </si>
  <si>
    <t>Порез на приходе од непокретности</t>
  </si>
  <si>
    <t xml:space="preserve">Порез на приходе од давања у закуп покретних ствари - по основу самоопорезивања и по решењу Пореске управе </t>
  </si>
  <si>
    <t>Порез на земљиште</t>
  </si>
  <si>
    <t>Порез на друге приходе</t>
  </si>
  <si>
    <t>ПОРЕЗ НА ИМОВИНУ</t>
  </si>
  <si>
    <t>Порез на имовину (осим на земљиште, акције и уделе) од физичких лица</t>
  </si>
  <si>
    <t>Порез на имовину (осим на земљиште, акције и уделе) од правних лица</t>
  </si>
  <si>
    <t>Порез на наслеђе и поклон по решењу Пореске управе</t>
  </si>
  <si>
    <t>Порез на пренос апсолутних права на непокретности, по решењу Пореске управе</t>
  </si>
  <si>
    <t>ПОРЕЗ НА ДОБРА И УСЛУГЕ</t>
  </si>
  <si>
    <t>Комунална такса за држање моторних друмских и прикључних возила, осим пољопривредних возила и машина</t>
  </si>
  <si>
    <t>Накнада за промену намене обрадивог пољопривредног земљишта</t>
  </si>
  <si>
    <t>Боравишна такса</t>
  </si>
  <si>
    <t>716000</t>
  </si>
  <si>
    <t>ДРУГИ ПОРЕЗИ</t>
  </si>
  <si>
    <t>716111</t>
  </si>
  <si>
    <t>Комунална такса за истицање фирме на пословном простору</t>
  </si>
  <si>
    <t>730000</t>
  </si>
  <si>
    <t>732000</t>
  </si>
  <si>
    <t>ДОНАЦИЈЕ ОД МЕЂ. ОРГАНИЗАЦИЈА</t>
  </si>
  <si>
    <t>732151</t>
  </si>
  <si>
    <t>Текуће донације од међународних организација у корист нивоа општина</t>
  </si>
  <si>
    <t>733000</t>
  </si>
  <si>
    <t>ТРАНСФЕРИ ОД ДРУГИХ НИВОА ВЛАСТИ</t>
  </si>
  <si>
    <t>Ненаменски трансфери од Републике у корист нивоа општина</t>
  </si>
  <si>
    <t>733154</t>
  </si>
  <si>
    <t>Текући наменски трансфери, у ужем смислу, од Републике у корист нивоа општина</t>
  </si>
  <si>
    <t>733251</t>
  </si>
  <si>
    <t>Капитални трансфери од других нивоа власти у корист нивоа општина</t>
  </si>
  <si>
    <t>740000</t>
  </si>
  <si>
    <t>ДРУГИ ПРИХОДИ</t>
  </si>
  <si>
    <t>741000</t>
  </si>
  <si>
    <t>ПРИХОДИ ОД ИМОВИНЕ</t>
  </si>
  <si>
    <t>741511</t>
  </si>
  <si>
    <t>741534</t>
  </si>
  <si>
    <t>742000</t>
  </si>
  <si>
    <t>ПРИХОДИ ОД ПРОДАЈЕ ДОБАРА И УСЛУГА</t>
  </si>
  <si>
    <t>742153</t>
  </si>
  <si>
    <t>Приходи од закупнине за грађевинско земљиште у корист нивоа општине</t>
  </si>
  <si>
    <t>Општинске  административне таксе</t>
  </si>
  <si>
    <t>743000</t>
  </si>
  <si>
    <t>НОВЧАНЕ КАЗНЕ И ОДУЗЕТА ИМОВИНСКА КОРИСТ</t>
  </si>
  <si>
    <t>743324</t>
  </si>
  <si>
    <t>Приходи од новчаних казни за прекршаје, предвиђене прописима о безбедности саобраћаја на путевима</t>
  </si>
  <si>
    <t>743351</t>
  </si>
  <si>
    <t>Приходи од новчаних казни за прекршаје у корист нивоа општина</t>
  </si>
  <si>
    <t>744000</t>
  </si>
  <si>
    <t>ДОБРОВОЉНИ ТРАНСФЕРИ ОД ФИЗИЧКИХ И ПРАВНИХ ЛИЦА</t>
  </si>
  <si>
    <t>744151</t>
  </si>
  <si>
    <t>Текући добровољни трансфери од физичких и правних лица у корист нивоа општина</t>
  </si>
  <si>
    <t>745000</t>
  </si>
  <si>
    <t>МЕШОВИТИ И НЕОДРЕЂЕНИ ПРИХОДИ</t>
  </si>
  <si>
    <t>745151</t>
  </si>
  <si>
    <t>Остали приходи у корист нивоа општина</t>
  </si>
  <si>
    <t>745153</t>
  </si>
  <si>
    <t>Део добити јавног предузећа према одлуци управног одбора јавног предузећа у корист нивоа општина</t>
  </si>
  <si>
    <t>770000</t>
  </si>
  <si>
    <t>МЕМОРАНДУМСКЕ СТАВКЕ ЗА РЕФУНДАЦИЈУ РАСХОДА</t>
  </si>
  <si>
    <t>800000</t>
  </si>
  <si>
    <t>ПРИМАЊА ОД ПРОДАЈЕ НЕФИНАНСИЈСКЕ ИМОВИНЕ</t>
  </si>
  <si>
    <t>ПРИМАЊА ОД ПРОДАЈЕ ОСНОВНИХ СРЕДСТАВА</t>
  </si>
  <si>
    <t>Примања од продаје непокретности</t>
  </si>
  <si>
    <t>ПРИМАЊА ОД ПРОДАЈЕ ПРИРОДНЕ ИМОВИНЕ</t>
  </si>
  <si>
    <t>Примања од продаје земљишта</t>
  </si>
  <si>
    <t>900000</t>
  </si>
  <si>
    <t>ПРИМАЊА ОД ЗАДУЖИВАЊА И ПРОДАЈЕ ФИНАНСИЈСКЕ ИМОВИНЕ</t>
  </si>
  <si>
    <t>910000</t>
  </si>
  <si>
    <t xml:space="preserve">ПРИМАЊА ОД ЗАДУЖИВАЊА </t>
  </si>
  <si>
    <t>911451</t>
  </si>
  <si>
    <t xml:space="preserve">Примања од задуживања од пословних банака у земљи у корист нивоа општина </t>
  </si>
  <si>
    <t>920000</t>
  </si>
  <si>
    <t>ПРИМАЊА ОД ПРОДАЈЕ ФИН. ИМОВИНЕ</t>
  </si>
  <si>
    <t>7+8+9</t>
  </si>
  <si>
    <t>ТЕКУЋИ ПРИХОДИ И ПРИМАЊА ОД ЗАДУЖИВАЊА И ПРОДАЈЕ ФИН. ИМОВИНЕ</t>
  </si>
  <si>
    <t>3+7+8+9</t>
  </si>
  <si>
    <t>УКУПНО ПРЕНЕТА СРЕДСТВА, ТЕКУЋИ ПРИХОДИ И ПРИМАЊА</t>
  </si>
  <si>
    <t>ПРОГРАМ 16: ПОЛИТИЧКИ СИСТЕМ ЛОКАЛНЕ САМОУПРАВЕ</t>
  </si>
  <si>
    <t>2101</t>
  </si>
  <si>
    <t>2101-0001</t>
  </si>
  <si>
    <t>Програмска активност 001:Функционисање скупштине</t>
  </si>
  <si>
    <t>Свега за програмску активност 2101-0001:</t>
  </si>
  <si>
    <t>Програм 16.  Политички систем локалне самоуправе</t>
  </si>
  <si>
    <t>Функционисање Скупштине</t>
  </si>
  <si>
    <t>2101-0002</t>
  </si>
  <si>
    <t>Функционисање извршних органа</t>
  </si>
  <si>
    <t>Извори финансирања за програмску активност 2101-0001:</t>
  </si>
  <si>
    <t>Свега за програмску активност 2101-0002:</t>
  </si>
  <si>
    <t>Извори финансирања за програмску активност 2101-0002:</t>
  </si>
  <si>
    <t>Програмска активност 0002:Функционисање извршних органа власти</t>
  </si>
  <si>
    <t>Свега за Раѕдео 2:</t>
  </si>
  <si>
    <t>Извори финансирања за Раѕдео 3:</t>
  </si>
  <si>
    <t>Свега за Раѕдео 3:</t>
  </si>
  <si>
    <t>Свега за Раздео 2 +3:</t>
  </si>
  <si>
    <t>Програмска активност: Текућа буџетска резерва</t>
  </si>
  <si>
    <t>Свега за програмску активност 0602-0009:</t>
  </si>
  <si>
    <t>Програмска активност: Стална резерва</t>
  </si>
  <si>
    <t>Свега за програмску активност 0602-0010:</t>
  </si>
  <si>
    <t>Износи финансирања за функцију 112:</t>
  </si>
  <si>
    <t>Текућа буџетска резерва</t>
  </si>
  <si>
    <t>Остваривање и унапређивање јавног интереса у области јавног информисања</t>
  </si>
  <si>
    <t>Накнада штете услед елементарних непогода</t>
  </si>
  <si>
    <t>Извори финансирања за Програмску активност 1201-0004:</t>
  </si>
  <si>
    <t>Свега за Програмску активност 1201-0004:</t>
  </si>
  <si>
    <t>Унапређење система очувања и представљања културно-историјског наслеђа</t>
  </si>
  <si>
    <t>ПРОГРАМ 13:РАЗВОЈ КУЛТУРЕ</t>
  </si>
  <si>
    <t>Свега за  функционисање:</t>
  </si>
  <si>
    <t>Програмскa активност 0003:Сервисирање јавног дуга</t>
  </si>
  <si>
    <t xml:space="preserve">1101-0003 </t>
  </si>
  <si>
    <t>Извори финансирања за програмску активност 1101-0003:</t>
  </si>
  <si>
    <t>1101-0003</t>
  </si>
  <si>
    <t>1101-0004</t>
  </si>
  <si>
    <t>Просторно и урбанистичко планирање</t>
  </si>
  <si>
    <t>Спровођење урбанистичких и просторних планова</t>
  </si>
  <si>
    <t>Управљање грађевинским земљиштем</t>
  </si>
  <si>
    <t>Социјално становање</t>
  </si>
  <si>
    <t>Свега за програмску активност 1101-0003:</t>
  </si>
  <si>
    <t>Извори финансирања за програмску активност 1501-0002:</t>
  </si>
  <si>
    <t>Свега за Програмску активност 1501-0002:</t>
  </si>
  <si>
    <t>Свега за Програмску активност 1501-0001:</t>
  </si>
  <si>
    <t>Програмска активност 0001:Унапређење привредног и инвестиционог амбијента</t>
  </si>
  <si>
    <t>Унапређење привредног и инвестиционог амбијента</t>
  </si>
  <si>
    <t>Мере активне политике запошљавања</t>
  </si>
  <si>
    <t>Програмска активност 0002: Мере активне политике запошљавања</t>
  </si>
  <si>
    <t>УКУПНО ГЛАВА 4.01 ОПШТИНСКА УПРАВА:</t>
  </si>
  <si>
    <t>Управљање/одржавање јавним осветљењем</t>
  </si>
  <si>
    <t>Одржавање јавних зелених површина</t>
  </si>
  <si>
    <t>1102</t>
  </si>
  <si>
    <t>1102-0001</t>
  </si>
  <si>
    <t>1102-0002</t>
  </si>
  <si>
    <t>1102-0003</t>
  </si>
  <si>
    <t>1102-0004</t>
  </si>
  <si>
    <t>1102-0008</t>
  </si>
  <si>
    <t>Одржавање чистоће на површинама јавне намене</t>
  </si>
  <si>
    <t>Програмска активност 0001:Управљање/одржавање јавним осветљењем</t>
  </si>
  <si>
    <t xml:space="preserve">1102-0001  </t>
  </si>
  <si>
    <t xml:space="preserve">1102-0002  </t>
  </si>
  <si>
    <t>Свега за програмску активност 1102-0001:</t>
  </si>
  <si>
    <t>Програмска активност 0002:Одржавање јавних зелених површина</t>
  </si>
  <si>
    <t>Специјализоване услуге- кошење зелених површина и чишћење града</t>
  </si>
  <si>
    <t>Истраживање и развој - Гориво и енергија</t>
  </si>
  <si>
    <t>Заштита животне средине некласификована на другом месту</t>
  </si>
  <si>
    <t>Извори финансирања за програмску активност 1102-0002:</t>
  </si>
  <si>
    <t>Свега за програмску активност 1102-0002:</t>
  </si>
  <si>
    <t>Програмска активност 0003:Одржавање чистоће на површинама јавне намене</t>
  </si>
  <si>
    <t xml:space="preserve">1102-0003  </t>
  </si>
  <si>
    <t>Извори финансирања за програмску активност 1102-0003:</t>
  </si>
  <si>
    <t>Свега за програмску активност 1102-0003:</t>
  </si>
  <si>
    <t xml:space="preserve">1102-0004 </t>
  </si>
  <si>
    <t>Програмска активност 0004:Зоохигијена</t>
  </si>
  <si>
    <t>Специјализоване услуге-Збрињавање напуштених  паса луталица</t>
  </si>
  <si>
    <t>Извори финансирања за програмску активност 1102-0004:</t>
  </si>
  <si>
    <t>Свега за програмску активност 1102-0004:</t>
  </si>
  <si>
    <t>Извори финансирања за програмску активност 1102-0004 :</t>
  </si>
  <si>
    <t>Зоохигијена</t>
  </si>
  <si>
    <t>ПРОГРАМ 7: ОРГАНИЗАЦИЈА САОБРАЋАЈА И САОБРАЋАЈНА ИНФРАСТРУКТУРА</t>
  </si>
  <si>
    <t xml:space="preserve"> 0701</t>
  </si>
  <si>
    <t>0701-0004</t>
  </si>
  <si>
    <t>Извори финансирања за програмску активност 1102-0008 :</t>
  </si>
  <si>
    <t>Свега за програмску активност 1102-0008:</t>
  </si>
  <si>
    <t>Специјалиѕоване услуге</t>
  </si>
  <si>
    <t>Извори финансирања за програмску активност 0701-0004:</t>
  </si>
  <si>
    <t>Свега за програмску активност 0701-0004:</t>
  </si>
  <si>
    <t>Јавни градски и приградски превоз путника</t>
  </si>
  <si>
    <t>0701-0003</t>
  </si>
  <si>
    <t>Управљање јавним паркиралиштима</t>
  </si>
  <si>
    <t>Одржавање саобраћајне инфраструктуре</t>
  </si>
  <si>
    <t>Управљање саобраћајем</t>
  </si>
  <si>
    <t>Свега  Програм 7:</t>
  </si>
  <si>
    <t>Програмска активност 0004:Јавни градски и приградски превоз путника</t>
  </si>
  <si>
    <t>Прграмска активност 0001:Пољопривреда и рурални развој</t>
  </si>
  <si>
    <t>Програмска  активност 0002:Мере подршке руралном развоју</t>
  </si>
  <si>
    <t xml:space="preserve">Текуће субвенције приватним нефинансијским предузећима и организацијама-корисници мера руралног развоја у општини                                                                </t>
  </si>
  <si>
    <t>Пољопривреда и рурални развој</t>
  </si>
  <si>
    <t>Мере подршке руралном развоју</t>
  </si>
  <si>
    <t>Програмска активност 0002:Функционисање месних заједница</t>
  </si>
  <si>
    <t>Јачање културне продукције и уметничког стваралаштва</t>
  </si>
  <si>
    <t>Програмска активност 0004:Остваривање и унапређивање јавног интереса у области јавног информисања</t>
  </si>
  <si>
    <t>Програмска активност 0002:Јачање културне продукције и уметничког стваралаштва</t>
  </si>
  <si>
    <t>Услуге поуговору</t>
  </si>
  <si>
    <t>Свега за Програм 14:</t>
  </si>
  <si>
    <t>Управљање заштитом животне средине</t>
  </si>
  <si>
    <t>Програмска активност 0004: Управљање отпадним водама</t>
  </si>
  <si>
    <t>0401-0005</t>
  </si>
  <si>
    <t>0401-0006</t>
  </si>
  <si>
    <t>Управљање осталим врстама отпада</t>
  </si>
  <si>
    <t>Свега за Програмску активност 0401-0004:</t>
  </si>
  <si>
    <t>Програмска активност 0006: Управљање осталим врстама отпада</t>
  </si>
  <si>
    <t>Свега за Програмску активност 0401-0006:</t>
  </si>
  <si>
    <t>Програмска активност 0002:Подршка предшколском и школском спорту</t>
  </si>
  <si>
    <t>Подршка предшколском и школском спорту</t>
  </si>
  <si>
    <t>1301-0004</t>
  </si>
  <si>
    <t>Функционисање локалних спортских установа</t>
  </si>
  <si>
    <t>Дотације невладиним организацијама-у складу са конкурсом посебни спорт</t>
  </si>
  <si>
    <t>Дотације невладиним организацијама-у складу са конкурсом годишњи програм</t>
  </si>
  <si>
    <t>Извори финансирања за Програм 14:</t>
  </si>
  <si>
    <t>Свега за Програмску активност 1301-0003:</t>
  </si>
  <si>
    <t>ПРОГРАМ 9: ОСНОВНО ОБРАЗОВАЊЕ И ВАСПИТАЊЕ</t>
  </si>
  <si>
    <t>Свега  Програм 9:</t>
  </si>
  <si>
    <t>1801-0002</t>
  </si>
  <si>
    <t>Програмска активност 0002:Мртвозорство</t>
  </si>
  <si>
    <t>Свега за Програмску активност 1801-0002:</t>
  </si>
  <si>
    <t>Извори финансирања за Програмску активност 1801-0002:</t>
  </si>
  <si>
    <t>1801-0003</t>
  </si>
  <si>
    <t>Спровођење активности из области друштвене бриге за јавно здравље</t>
  </si>
  <si>
    <t>Извори финансирања за Програмску активност 1801-0003:</t>
  </si>
  <si>
    <t>Свега за Програмску активност 1801-0003:</t>
  </si>
  <si>
    <t>Програмска активност 0002:Промоција туристичке понуде</t>
  </si>
  <si>
    <t xml:space="preserve"> СПОРТСКИ ЦЕНТАР "БАЊИЦА"</t>
  </si>
  <si>
    <t>Свега за Раздеo 1-4:</t>
  </si>
  <si>
    <t>Свега програм 3:</t>
  </si>
  <si>
    <t>Свега  програм 11:</t>
  </si>
  <si>
    <t>Свега програм 6:</t>
  </si>
  <si>
    <t>Свега програм 12:</t>
  </si>
  <si>
    <t>Свега за Главу 4.02</t>
  </si>
  <si>
    <t>Дотације националној служби</t>
  </si>
  <si>
    <t>Tекуће попрвке и одржавање</t>
  </si>
  <si>
    <t>Услуге по уговору-у складу са конкурсом</t>
  </si>
  <si>
    <t xml:space="preserve">ПРОГРАМ 17: ЕНЕРГЕТСКА ЕФИКАСНОСТ
</t>
  </si>
  <si>
    <t>0501</t>
  </si>
  <si>
    <t>0501-0001</t>
  </si>
  <si>
    <t>Програмска активност 0001:Унапређење и побољшање енергетске ефикасности</t>
  </si>
  <si>
    <t>Функција 483:</t>
  </si>
  <si>
    <t>Извори финансирања за Програмску активност 0501-0001:</t>
  </si>
  <si>
    <t>Свега за Програмску активност 0501-0001:</t>
  </si>
  <si>
    <t>Извори финансирања за функцију 483:</t>
  </si>
  <si>
    <t>Програм 17.  Енергетска ефикасност</t>
  </si>
  <si>
    <t>Унапређење и побољшање енергетске ефикасности</t>
  </si>
  <si>
    <t>Корисник буџетских средстава</t>
  </si>
  <si>
    <t>Општинска управа Бела Паланк</t>
  </si>
  <si>
    <t>Туристичка организација Беле Паланке</t>
  </si>
  <si>
    <t>Центар за социјални рад Бела Паланка-Општинска управа Бела Паланк</t>
  </si>
  <si>
    <t xml:space="preserve">Општинска управа Бела Паланка </t>
  </si>
  <si>
    <t>Општинска управа Бела Паланка</t>
  </si>
  <si>
    <t>742156</t>
  </si>
  <si>
    <t>Приходи остварени по основу пружања услуга боравка деце у предшколским установама</t>
  </si>
  <si>
    <t>Свега за Програмску активност 1201-0003:</t>
  </si>
  <si>
    <t>Извори финансирања за Програмску активност 1201-0003:</t>
  </si>
  <si>
    <t>Специјализоване услуге-зимско одржавање путева</t>
  </si>
  <si>
    <t>ОПШТИНА БЕЛА ПАЛАНКА</t>
  </si>
  <si>
    <t>ПРЕДСДНИК И ОПШТИНСКО  ВЕЋЕ</t>
  </si>
  <si>
    <t>Општинска управа Бела Паланкa,Удружење</t>
  </si>
  <si>
    <t xml:space="preserve">Општинска управа Бела Паланка-Дом здравља </t>
  </si>
  <si>
    <t>Центар за културу</t>
  </si>
  <si>
    <t>Општинска управа Бела Паланкa,</t>
  </si>
  <si>
    <t>Општинска управа Бела Паланкa</t>
  </si>
  <si>
    <t>Такса за озакоњење објекта у корист нивоа општине</t>
  </si>
  <si>
    <t>Негативне курсне разлике</t>
  </si>
  <si>
    <t>743924</t>
  </si>
  <si>
    <t>742351</t>
  </si>
  <si>
    <t>Накнада од емисије SO2, NO2, прашкасте материје</t>
  </si>
  <si>
    <t>Приходи које својом делатношћу остваре органи и организације</t>
  </si>
  <si>
    <t>Приходи од увећања целокупног пореског дуга</t>
  </si>
  <si>
    <t>823151</t>
  </si>
  <si>
    <t>Примања од продаје робе за даљу продају</t>
  </si>
  <si>
    <t>УСТАНОВА КУЛТУРЕ " РЕМИЗИЈАНА"</t>
  </si>
  <si>
    <t>Свега  Програм 10:</t>
  </si>
  <si>
    <t xml:space="preserve">Порези, обавезне таксе, </t>
  </si>
  <si>
    <t xml:space="preserve">Програмска активност 0014 :Ванредне ситуације </t>
  </si>
  <si>
    <t>0602-0014</t>
  </si>
  <si>
    <t>Ванредне ситуације</t>
  </si>
  <si>
    <t>Свега за Програмску активност 0602-0014:</t>
  </si>
  <si>
    <t>Свега за Програмску активност 1301-0004:</t>
  </si>
  <si>
    <t xml:space="preserve"> Установа спорта *Бањица*</t>
  </si>
  <si>
    <t xml:space="preserve"> Спортске организације удружењима и савезима</t>
  </si>
  <si>
    <t>Специјализоване услуге-Програм спровођења комасације на териорији општине Бела Паланка</t>
  </si>
  <si>
    <t>Стални трошккови</t>
  </si>
  <si>
    <t>Свега  Програм 8:</t>
  </si>
  <si>
    <t>Функција: Цивилна одбрана</t>
  </si>
  <si>
    <t>Свега за Главу 4.03</t>
  </si>
  <si>
    <t>Свега за Главу 4.04 Програм  13:</t>
  </si>
  <si>
    <t>Свега за Главу 4.05 Програм 13:</t>
  </si>
  <si>
    <t>Свега за Главу 4.06  Програм 8:</t>
  </si>
  <si>
    <t>Свега за Главу 4.07  Програм 14:</t>
  </si>
  <si>
    <t>451</t>
  </si>
  <si>
    <t xml:space="preserve">Специјализоване услуге-уклањање  отпада са јавних површинс на територији општине </t>
  </si>
  <si>
    <t>Програмска активност 0003:Спровођење активности из области друштвене бриге за јавно здравље и локалног акционог плана популационе политике</t>
  </si>
  <si>
    <t>Накнада за заштиту и унапређење животне средине</t>
  </si>
  <si>
    <t>Накнада за коришћрење простора најавнојповршини у послловне идр. Сврхе осим продајештампе,књиг идр. Публикација,производа старихи уметничких заната и домаћерадиности</t>
  </si>
  <si>
    <t>Нкнаде за коришћење јавне повшине  по основу зазећа грађевинским матријалом и за извођење грађевинских радова</t>
  </si>
  <si>
    <t>Накнада за коришћење деловаземљишног појаса општинскогпута и улице идр.земљишта које припада управљачу пута</t>
  </si>
  <si>
    <t>Накнада закоришћење јавне површинеза оглашавање засопсвене потребе и потребе др.лица</t>
  </si>
  <si>
    <t xml:space="preserve">Зграде и грађевински објекти-учешће у пројекту енергетске ефикасности </t>
  </si>
  <si>
    <t>Повећање учешћа девојчица у спортским активностима у општини Бела Паланка</t>
  </si>
  <si>
    <t>УКУПНО РАСХОДИ</t>
  </si>
  <si>
    <t>Свега за Раздео 1:</t>
  </si>
  <si>
    <t>Зграде и грађевнски објекти</t>
  </si>
  <si>
    <t>742152</t>
  </si>
  <si>
    <t>Приходи од давања у закуп односно на коришћење</t>
  </si>
  <si>
    <t>Шифре програма/програмска активност</t>
  </si>
  <si>
    <t>741596</t>
  </si>
  <si>
    <t>Накнада за коришћење дрвета</t>
  </si>
  <si>
    <t>РОДНО БУЏЕТИРАЊЕ Циљ</t>
  </si>
  <si>
    <t xml:space="preserve">Програмска активност 0003:Унапређење система очувања и представљања културно-историјског наслеђа </t>
  </si>
  <si>
    <t>Функционисање локалних установа социјалне заштите</t>
  </si>
  <si>
    <t>Програмска активност 0005:Унапређење безбедности саобраћаја</t>
  </si>
  <si>
    <t>Свега за Програмску активност 0701-0005:</t>
  </si>
  <si>
    <t>Извори финансирања за Програмску активност 0701-0005:</t>
  </si>
  <si>
    <t>0701-0005</t>
  </si>
  <si>
    <t>Унапређење безбедности саобраћаја</t>
  </si>
  <si>
    <t>772111</t>
  </si>
  <si>
    <t>функција</t>
  </si>
  <si>
    <t>Зграде и грађевинси објекти</t>
  </si>
  <si>
    <t>А.</t>
  </si>
  <si>
    <t>РАЧУН ПРИХОДА И ПРИМАЊА</t>
  </si>
  <si>
    <t>Економска класификација</t>
  </si>
  <si>
    <t>у динарима</t>
  </si>
  <si>
    <t>Укупни приходи и примања остварени по основу продаје нефинансијске имовине</t>
  </si>
  <si>
    <t>7 + 8</t>
  </si>
  <si>
    <t>Укупни расходи и издаци за набавку нефинансијске имовине</t>
  </si>
  <si>
    <t>4 + 5</t>
  </si>
  <si>
    <t>KLASA</t>
  </si>
  <si>
    <t>Буџетски суфицит/дефицит</t>
  </si>
  <si>
    <t>(7+8) - (4+5)</t>
  </si>
  <si>
    <t>KLAASA</t>
  </si>
  <si>
    <t>Издаци за набавку финансијске имовине (осим за набавку домаћих хартија од вредности)</t>
  </si>
  <si>
    <t xml:space="preserve">KLASA </t>
  </si>
  <si>
    <t xml:space="preserve">Укупан фискални суфицит/дефицит </t>
  </si>
  <si>
    <t>((7+8) - (4+5)) - 62</t>
  </si>
  <si>
    <t>Б.</t>
  </si>
  <si>
    <t xml:space="preserve"> РАЧУН ФИНАНСИРАЊА</t>
  </si>
  <si>
    <t>Примања од задуживања</t>
  </si>
  <si>
    <t>Примања од продаје финансијске имовине</t>
  </si>
  <si>
    <t>Нето финансирање</t>
  </si>
  <si>
    <t>(91+92) - (61+6211)</t>
  </si>
  <si>
    <t>4+5+6</t>
  </si>
  <si>
    <t>Укупан фискални суфицит/дефицит плус нето финансирање</t>
  </si>
  <si>
    <t>(((7+8) - (4+5)) - 62) + ((91+92)-(6211+61))</t>
  </si>
  <si>
    <t>%</t>
  </si>
  <si>
    <t>ПРИМАЊА ОД ПРОДАЈЕ НЕФИНАНСИЈСКЕ ИМОВИНЕ-земљиште</t>
  </si>
  <si>
    <t>ПРИМАЊА ОД ПРОДАЈЕ ФИНАНСИЈСКЕ  ИМОВИНЕ</t>
  </si>
  <si>
    <t xml:space="preserve"> План БУЏЕТА 2023-ИЗВОР 01</t>
  </si>
  <si>
    <t xml:space="preserve">                                Tабела 2.План расхода и издатака по наменама  за 2023год.                                                                                                  </t>
  </si>
  <si>
    <t xml:space="preserve">Tабела 3.  -  ОПШТИ ДЕО - Преглед расхода по секторима и програмима </t>
  </si>
  <si>
    <t>0901-0019</t>
  </si>
  <si>
    <t>Програмска  активност 0019: Подршка деци и породица са децом</t>
  </si>
  <si>
    <t>Свега за Програмску активност 0901-0019:</t>
  </si>
  <si>
    <t>Програмска  активност 0005:Функционисање локалних установа социјалне заштите</t>
  </si>
  <si>
    <t>0901-0016</t>
  </si>
  <si>
    <t>Свега за Програмску активност 0901-0016:</t>
  </si>
  <si>
    <t>0901-0018</t>
  </si>
  <si>
    <t>Програмска  активност 0018: Активности Црвеног крста</t>
  </si>
  <si>
    <t>0901-0020</t>
  </si>
  <si>
    <t>Програмска  активност 0020:Подршка рађању и родитељству</t>
  </si>
  <si>
    <t>Извори финансирања за функцију 040:</t>
  </si>
  <si>
    <t>Извори финансирања за Програмску активност 0901-0020:</t>
  </si>
  <si>
    <t>Свега за Програмску активност 0901-0020:</t>
  </si>
  <si>
    <t>Програмска  активност 0016: Дневне услуге у заједници</t>
  </si>
  <si>
    <t>Дневне услуге у заједници</t>
  </si>
  <si>
    <t>Подршка деци и породица са децом</t>
  </si>
  <si>
    <t>Подршка рађању и родитељству</t>
  </si>
  <si>
    <t>Извори финансирања за Програмску активност 0901-0018:</t>
  </si>
  <si>
    <t>Свега Програмска  активност 0018: Активности Црвеног крста</t>
  </si>
  <si>
    <t>Свега за Програмску активност 0901-0018:</t>
  </si>
  <si>
    <t>Порез на пренос апсолутних права на употребљаваним моторним возилима</t>
  </si>
  <si>
    <t>2004-0001</t>
  </si>
  <si>
    <t>2004</t>
  </si>
  <si>
    <t>Програмска активност 0008:Управљање и одржавање водоводне инфраструктуре и снабдевање
водом за пиће</t>
  </si>
  <si>
    <t xml:space="preserve">Tабела 1. План прихода и примања за  2023.год                     </t>
  </si>
  <si>
    <t>2002-0002</t>
  </si>
  <si>
    <t>Црвени крст</t>
  </si>
  <si>
    <t>Издаци за отплату главнице дуга( у циљу спровођења јавних политика)</t>
  </si>
  <si>
    <t xml:space="preserve"> План   БУЏЕТА 2023</t>
  </si>
  <si>
    <t>РЕКАПИТУЛАЦИЈА</t>
  </si>
  <si>
    <t>Класа 7 Текући приходи</t>
  </si>
  <si>
    <t>Класа 8</t>
  </si>
  <si>
    <t>Свега приходи</t>
  </si>
  <si>
    <t>Класа 4 Текући расходи</t>
  </si>
  <si>
    <t>Класа 5</t>
  </si>
  <si>
    <t>Класа 6 - 62</t>
  </si>
  <si>
    <t>Свега расходи</t>
  </si>
  <si>
    <t>Суфицит / дефицит</t>
  </si>
  <si>
    <t>16.150.000</t>
  </si>
  <si>
    <r>
      <t>ПРОГРАМ 1:</t>
    </r>
    <r>
      <rPr>
        <b/>
        <sz val="14"/>
        <rFont val="Times New Roman"/>
        <family val="1"/>
      </rPr>
      <t>Урбанизам и просторно планирање</t>
    </r>
  </si>
  <si>
    <r>
      <t xml:space="preserve">Програмске активност 0001: </t>
    </r>
    <r>
      <rPr>
        <b/>
        <sz val="9"/>
        <rFont val="Times New Roman"/>
        <family val="1"/>
      </rPr>
      <t>ПРОСТОРНО И УРБАНИСТИЧКО ПЛАНИРАЊЕ</t>
    </r>
  </si>
  <si>
    <r>
      <t>Програмске активност 0003:</t>
    </r>
    <r>
      <rPr>
        <b/>
        <sz val="10"/>
        <rFont val="Times New Roman"/>
        <family val="1"/>
      </rPr>
      <t>УПРАВЉАЊЕ ГРАЂЕВИНСКИМ ЗЕМЉИШТЕМ</t>
    </r>
  </si>
  <si>
    <r>
      <t>ПРОГРАМ 13</t>
    </r>
    <r>
      <rPr>
        <b/>
        <sz val="12"/>
        <rFont val="Times New Roman"/>
        <family val="1"/>
      </rPr>
      <t xml:space="preserve"> - Развој културе</t>
    </r>
  </si>
  <si>
    <r>
      <t>Програмска активност 0004:</t>
    </r>
    <r>
      <rPr>
        <b/>
        <sz val="11"/>
        <rFont val="Times New Roman"/>
        <family val="1"/>
      </rPr>
      <t>Функционисање локалних спортских установа</t>
    </r>
  </si>
  <si>
    <t>-</t>
  </si>
  <si>
    <t xml:space="preserve">Tабела 1. План  прихода и примања за  2024.год                     </t>
  </si>
  <si>
    <t xml:space="preserve"> План   БУЏЕТА 2024-01</t>
  </si>
  <si>
    <t xml:space="preserve"> План   БУЏЕТА 2024-04</t>
  </si>
  <si>
    <t xml:space="preserve"> План   БУЏЕТА 2024-13</t>
  </si>
  <si>
    <t xml:space="preserve">                                Tабела 2.План расхода и издатака по наменама  за 2024год.                                                                                                  </t>
  </si>
  <si>
    <t xml:space="preserve"> План БУЏЕТА 2024-ИЗВОР 01</t>
  </si>
  <si>
    <t xml:space="preserve"> План БУЏЕТА 2024-ИЗВОР 04</t>
  </si>
  <si>
    <t xml:space="preserve"> План БУЏЕТА 2024-ИЗВОР 07</t>
  </si>
  <si>
    <t>Укупно буџет 2024.год.</t>
  </si>
  <si>
    <t xml:space="preserve"> План БУЏЕТА 2024</t>
  </si>
  <si>
    <t>План буџета 2024.год. - извор 01</t>
  </si>
  <si>
    <t xml:space="preserve">План буџета 2024 год. остали извор </t>
  </si>
  <si>
    <t xml:space="preserve"> План буџета 2024-ИЗВОР 01</t>
  </si>
  <si>
    <t xml:space="preserve"> План буџета 2024-ИЗВОР 04</t>
  </si>
  <si>
    <t xml:space="preserve"> План буџета 2024-ИЗВОР 07</t>
  </si>
  <si>
    <t xml:space="preserve"> ПЛАН РАСХОДА БУЏЕТА ЗА 2024 ГОД </t>
  </si>
  <si>
    <t xml:space="preserve"> План прихода за 2024</t>
  </si>
  <si>
    <t>Prema izmenama zakona o bzbednosti saobracja, JLS ne pripadaju sredstva od novcanih kazni</t>
  </si>
  <si>
    <t>UKINUTI PRIHODI  jls</t>
  </si>
  <si>
    <t>SREDSTVA ZA PLATE SU PLANIRANA SA INDEKSACIJOM 10% POCEV OD JANUARA 2024.GOD. ZNACI ISPLATA ZA SEPTEMBAR 2023.GOD. UVECNA ZA 10%. ZATIM TAJ IZNOS SE MNOZI SA 11 MESECI + ISPLATA 1 MESEC ZA DECEMBAR 2023.GOD.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</si>
</sst>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_(* #,##0.00_);_(* \(#,##0.00\);_(* \-??_);_(@_)"/>
    <numFmt numFmtId="183" formatCode="_(* #,##0_);_(* \(#,##0\);_(* \-_);_(@_)"/>
    <numFmt numFmtId="184" formatCode="0.0%"/>
    <numFmt numFmtId="185" formatCode="_-* #,##0.00\ _D_i_n_._-;\-* #,##0.00\ _D_i_n_._-;_-* \-??\ _D_i_n_._-;_-@_-"/>
    <numFmt numFmtId="186" formatCode="#,##0;\-#,##0;"/>
    <numFmt numFmtId="187" formatCode="_(* #,##0_);_(* \(#,##0\);_(* &quot;-&quot;??_);_(@_)"/>
    <numFmt numFmtId="188" formatCode="#,##0;;"/>
    <numFmt numFmtId="189" formatCode="#,##0.000"/>
    <numFmt numFmtId="190" formatCode="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09]dddd\,\ mmmm\ dd\,\ yyyy"/>
    <numFmt numFmtId="196" formatCode="[$-409]h:mm:ss\ AM/PM"/>
    <numFmt numFmtId="197" formatCode="_-* #,##0.0\ _D_i_n_._-;\-* #,##0.0\ _D_i_n_._-;_-* \-??\ _D_i_n_._-;_-@_-"/>
    <numFmt numFmtId="198" formatCode="_-* #,##0\ _D_i_n_._-;\-* #,##0\ _D_i_n_._-;_-* \-??\ _D_i_n_._-;_-@_-"/>
    <numFmt numFmtId="199" formatCode="_-* #,##0.0\ _d_i_n_._-;\-* #,##0.0\ _d_i_n_._-;_-* &quot;-&quot;??\ _d_i_n_._-;_-@_-"/>
    <numFmt numFmtId="200" formatCode="_-* #,##0\ _d_i_n_._-;\-* #,##0\ _d_i_n_._-;_-* &quot;-&quot;??\ _d_i_n_._-;_-@_-"/>
    <numFmt numFmtId="201" formatCode="_(* #,##0.0_);_(* \(#,##0.0\);_(* &quot;-&quot;?_);_(@_)"/>
    <numFmt numFmtId="202" formatCode="_-* #,##0.000\ _d_i_n_._-;\-* #,##0.000\ _d_i_n_._-;_-* &quot;-&quot;??\ _d_i_n_._-;_-@_-"/>
    <numFmt numFmtId="203" formatCode="_-* #,##0.0000\ _d_i_n_._-;\-* #,##0.0000\ _d_i_n_._-;_-* &quot;-&quot;??\ _d_i_n_._-;_-@_-"/>
    <numFmt numFmtId="204" formatCode="0.0"/>
    <numFmt numFmtId="205" formatCode="0.0000"/>
    <numFmt numFmtId="206" formatCode="0.000"/>
    <numFmt numFmtId="207" formatCode="0.0000000"/>
    <numFmt numFmtId="208" formatCode="0.000000"/>
    <numFmt numFmtId="209" formatCode="0.00000"/>
    <numFmt numFmtId="210" formatCode="0.00;[Red]0.00"/>
    <numFmt numFmtId="211" formatCode="_-* #,##0.0\ _d_i_n_._-;\-* #,##0.0\ _d_i_n_._-;_-* &quot;-&quot;\ _d_i_n_._-;_-@_-"/>
    <numFmt numFmtId="212" formatCode="_-* #,##0.00\ _d_i_n_._-;\-* #,##0.00\ _d_i_n_._-;_-* &quot;-&quot;\ _d_i_n_._-;_-@_-"/>
    <numFmt numFmtId="213" formatCode="_(* #,##0.00_);_(* \(#,##0.00\);_(* &quot;-&quot;???_);_(@_)"/>
    <numFmt numFmtId="214" formatCode="[$-409]dddd\,\ mmmm\ d\,\ yyyy"/>
    <numFmt numFmtId="215" formatCode="0.00000000"/>
    <numFmt numFmtId="216" formatCode="0.000000000"/>
    <numFmt numFmtId="217" formatCode="0.000%"/>
    <numFmt numFmtId="218" formatCode="[$-409]yyyy\-mm\-dd;@"/>
  </numFmts>
  <fonts count="10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MS Sans Serif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i/>
      <sz val="11"/>
      <color indexed="8"/>
      <name val="Times New Roman"/>
      <family val="1"/>
    </font>
    <font>
      <sz val="9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color indexed="58"/>
      <name val="Times New Roman"/>
      <family val="1"/>
    </font>
    <font>
      <sz val="11"/>
      <color indexed="58"/>
      <name val="Times New Roman"/>
      <family val="1"/>
    </font>
    <font>
      <sz val="9"/>
      <color indexed="8"/>
      <name val="Swiss Light YU"/>
      <family val="2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8"/>
      <name val="Swiss Light YU"/>
      <family val="2"/>
    </font>
    <font>
      <i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i/>
      <sz val="10"/>
      <name val="Times New Roman Italic"/>
      <family val="0"/>
    </font>
    <font>
      <sz val="10"/>
      <name val="Times New Roman Italic"/>
      <family val="0"/>
    </font>
    <font>
      <i/>
      <sz val="9"/>
      <name val="Times New Roman Italic"/>
      <family val="0"/>
    </font>
    <font>
      <i/>
      <sz val="11"/>
      <name val="Times New Roman Italic"/>
      <family val="0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sz val="8"/>
      <name val="Swiss Light YU"/>
      <family val="2"/>
    </font>
    <font>
      <sz val="10"/>
      <name val="Swiss Light YU"/>
      <family val="2"/>
    </font>
    <font>
      <b/>
      <sz val="10"/>
      <name val="Swiss Light YU"/>
      <family val="2"/>
    </font>
    <font>
      <b/>
      <sz val="10"/>
      <color indexed="8"/>
      <name val="MS Sans Serif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Swiss Light YU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lightHorizontal">
        <bgColor indexed="9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0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lightHorizontal">
        <bgColor theme="3" tint="0.5999900102615356"/>
      </patternFill>
    </fill>
  </fills>
  <borders count="1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hair"/>
      <right style="hair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ashed"/>
      <right>
        <color indexed="63"/>
      </right>
      <top style="dashed"/>
      <bottom style="dashed"/>
    </border>
    <border>
      <left style="dotted"/>
      <right>
        <color indexed="63"/>
      </right>
      <top style="dotted"/>
      <bottom style="dotted"/>
    </border>
    <border>
      <left style="dashed"/>
      <right>
        <color indexed="63"/>
      </right>
      <top style="dashed"/>
      <bottom>
        <color indexed="63"/>
      </bottom>
    </border>
    <border>
      <left style="dotted"/>
      <right style="dotted"/>
      <top style="dotted"/>
      <bottom style="dashed"/>
    </border>
    <border>
      <left style="dotted"/>
      <right style="dotted"/>
      <top style="dashed"/>
      <bottom>
        <color indexed="63"/>
      </bottom>
    </border>
    <border>
      <left style="dotted"/>
      <right style="dotted"/>
      <top style="dashed"/>
      <bottom style="dash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otted"/>
      <right style="dash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  <border>
      <left style="medium"/>
      <right>
        <color indexed="63"/>
      </right>
      <top style="dashed"/>
      <bottom style="dashed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dashed"/>
      <top style="dashed"/>
      <bottom style="medium"/>
    </border>
    <border>
      <left style="dotted"/>
      <right style="dotted"/>
      <top style="dashed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mediumDashed"/>
      <top>
        <color indexed="63"/>
      </top>
      <bottom style="mediumDashed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medium"/>
      <right style="dashed"/>
      <top>
        <color indexed="63"/>
      </top>
      <bottom style="dash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ashed"/>
      <bottom style="dashed"/>
    </border>
    <border>
      <left style="dashed"/>
      <right style="dotted"/>
      <top style="dashed"/>
      <bottom style="dashed"/>
    </border>
    <border>
      <left style="dotted"/>
      <right style="dashed"/>
      <top style="dotted"/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ashed"/>
      <bottom style="dashed"/>
    </border>
    <border>
      <left>
        <color indexed="63"/>
      </left>
      <right style="dotted"/>
      <top style="dotted"/>
      <bottom style="dashed"/>
    </border>
    <border>
      <left style="dotted"/>
      <right style="dashed"/>
      <top style="dash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ashed"/>
      <right style="dotted"/>
      <top style="dashed"/>
      <bottom style="dotted"/>
    </border>
    <border>
      <left>
        <color indexed="63"/>
      </left>
      <right style="dashed"/>
      <top style="dotted"/>
      <bottom style="dotted"/>
    </border>
    <border>
      <left style="dashed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 style="dashed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15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75" fillId="24" borderId="0" applyNumberFormat="0" applyBorder="0" applyAlignment="0" applyProtection="0"/>
    <xf numFmtId="0" fontId="3" fillId="25" borderId="0" applyNumberFormat="0" applyBorder="0" applyAlignment="0" applyProtection="0"/>
    <xf numFmtId="0" fontId="75" fillId="26" borderId="0" applyNumberFormat="0" applyBorder="0" applyAlignment="0" applyProtection="0"/>
    <xf numFmtId="0" fontId="3" fillId="17" borderId="0" applyNumberFormat="0" applyBorder="0" applyAlignment="0" applyProtection="0"/>
    <xf numFmtId="0" fontId="75" fillId="27" borderId="0" applyNumberFormat="0" applyBorder="0" applyAlignment="0" applyProtection="0"/>
    <xf numFmtId="0" fontId="3" fillId="19" borderId="0" applyNumberFormat="0" applyBorder="0" applyAlignment="0" applyProtection="0"/>
    <xf numFmtId="0" fontId="75" fillId="28" borderId="0" applyNumberFormat="0" applyBorder="0" applyAlignment="0" applyProtection="0"/>
    <xf numFmtId="0" fontId="3" fillId="29" borderId="0" applyNumberFormat="0" applyBorder="0" applyAlignment="0" applyProtection="0"/>
    <xf numFmtId="0" fontId="75" fillId="30" borderId="0" applyNumberFormat="0" applyBorder="0" applyAlignment="0" applyProtection="0"/>
    <xf numFmtId="0" fontId="3" fillId="31" borderId="0" applyNumberFormat="0" applyBorder="0" applyAlignment="0" applyProtection="0"/>
    <xf numFmtId="0" fontId="75" fillId="32" borderId="0" applyNumberFormat="0" applyBorder="0" applyAlignment="0" applyProtection="0"/>
    <xf numFmtId="0" fontId="3" fillId="33" borderId="0" applyNumberFormat="0" applyBorder="0" applyAlignment="0" applyProtection="0"/>
    <xf numFmtId="0" fontId="75" fillId="34" borderId="0" applyNumberFormat="0" applyBorder="0" applyAlignment="0" applyProtection="0"/>
    <xf numFmtId="0" fontId="3" fillId="35" borderId="0" applyNumberFormat="0" applyBorder="0" applyAlignment="0" applyProtection="0"/>
    <xf numFmtId="0" fontId="75" fillId="36" borderId="0" applyNumberFormat="0" applyBorder="0" applyAlignment="0" applyProtection="0"/>
    <xf numFmtId="0" fontId="3" fillId="37" borderId="0" applyNumberFormat="0" applyBorder="0" applyAlignment="0" applyProtection="0"/>
    <xf numFmtId="0" fontId="75" fillId="38" borderId="0" applyNumberFormat="0" applyBorder="0" applyAlignment="0" applyProtection="0"/>
    <xf numFmtId="0" fontId="3" fillId="39" borderId="0" applyNumberFormat="0" applyBorder="0" applyAlignment="0" applyProtection="0"/>
    <xf numFmtId="0" fontId="75" fillId="40" borderId="0" applyNumberFormat="0" applyBorder="0" applyAlignment="0" applyProtection="0"/>
    <xf numFmtId="0" fontId="3" fillId="29" borderId="0" applyNumberFormat="0" applyBorder="0" applyAlignment="0" applyProtection="0"/>
    <xf numFmtId="0" fontId="75" fillId="41" borderId="0" applyNumberFormat="0" applyBorder="0" applyAlignment="0" applyProtection="0"/>
    <xf numFmtId="0" fontId="3" fillId="31" borderId="0" applyNumberFormat="0" applyBorder="0" applyAlignment="0" applyProtection="0"/>
    <xf numFmtId="0" fontId="75" fillId="42" borderId="0" applyNumberFormat="0" applyBorder="0" applyAlignment="0" applyProtection="0"/>
    <xf numFmtId="0" fontId="3" fillId="43" borderId="0" applyNumberFormat="0" applyBorder="0" applyAlignment="0" applyProtection="0"/>
    <xf numFmtId="0" fontId="76" fillId="44" borderId="0" applyNumberFormat="0" applyBorder="0" applyAlignment="0" applyProtection="0"/>
    <xf numFmtId="0" fontId="4" fillId="5" borderId="0" applyNumberFormat="0" applyBorder="0" applyAlignment="0" applyProtection="0"/>
    <xf numFmtId="0" fontId="77" fillId="45" borderId="1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5" fillId="46" borderId="2" applyNumberFormat="0" applyAlignment="0" applyProtection="0"/>
    <xf numFmtId="0" fontId="78" fillId="47" borderId="3" applyNumberFormat="0" applyAlignment="0" applyProtection="0"/>
    <xf numFmtId="0" fontId="6" fillId="48" borderId="4" applyNumberFormat="0" applyAlignment="0" applyProtection="0"/>
    <xf numFmtId="18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2" fontId="2" fillId="0" borderId="0" applyFill="0" applyBorder="0" applyAlignment="0" applyProtection="0"/>
    <xf numFmtId="171" fontId="1" fillId="0" borderId="0" applyFont="0" applyFill="0" applyBorder="0" applyAlignment="0" applyProtection="0"/>
    <xf numFmtId="0" fontId="33" fillId="0" borderId="0" applyNumberFormat="0" applyFont="0" applyFill="0" applyBorder="0" applyProtection="0">
      <alignment vertical="center"/>
    </xf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49" borderId="0" applyNumberFormat="0" applyBorder="0" applyAlignment="0" applyProtection="0"/>
    <xf numFmtId="0" fontId="8" fillId="7" borderId="0" applyNumberFormat="0" applyBorder="0" applyAlignment="0" applyProtection="0"/>
    <xf numFmtId="0" fontId="82" fillId="0" borderId="5" applyNumberFormat="0" applyFill="0" applyAlignment="0" applyProtection="0"/>
    <xf numFmtId="0" fontId="9" fillId="0" borderId="6" applyNumberFormat="0" applyFill="0" applyAlignment="0" applyProtection="0"/>
    <xf numFmtId="0" fontId="83" fillId="0" borderId="7" applyNumberFormat="0" applyFill="0" applyAlignment="0" applyProtection="0"/>
    <xf numFmtId="0" fontId="10" fillId="0" borderId="8" applyNumberFormat="0" applyFill="0" applyAlignment="0" applyProtection="0"/>
    <xf numFmtId="0" fontId="84" fillId="0" borderId="9" applyNumberFormat="0" applyFill="0" applyAlignment="0" applyProtection="0"/>
    <xf numFmtId="0" fontId="11" fillId="0" borderId="10" applyNumberFormat="0" applyFill="0" applyAlignment="0" applyProtection="0"/>
    <xf numFmtId="0" fontId="8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50" borderId="1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12" fillId="13" borderId="2" applyNumberFormat="0" applyAlignment="0" applyProtection="0"/>
    <xf numFmtId="0" fontId="87" fillId="0" borderId="11" applyNumberFormat="0" applyFill="0" applyAlignment="0" applyProtection="0"/>
    <xf numFmtId="0" fontId="13" fillId="0" borderId="12" applyNumberFormat="0" applyFill="0" applyAlignment="0" applyProtection="0"/>
    <xf numFmtId="0" fontId="88" fillId="51" borderId="0" applyNumberFormat="0" applyBorder="0" applyAlignment="0" applyProtection="0"/>
    <xf numFmtId="0" fontId="14" fillId="52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9" fillId="0" borderId="0">
      <alignment/>
      <protection/>
    </xf>
    <xf numFmtId="0" fontId="0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21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53" borderId="13" applyNumberFormat="0" applyFont="0" applyAlignment="0" applyProtection="0"/>
    <xf numFmtId="0" fontId="2" fillId="54" borderId="14" applyNumberFormat="0" applyAlignment="0" applyProtection="0"/>
    <xf numFmtId="0" fontId="2" fillId="54" borderId="14" applyNumberFormat="0" applyAlignment="0" applyProtection="0"/>
    <xf numFmtId="0" fontId="2" fillId="54" borderId="14" applyNumberFormat="0" applyAlignment="0" applyProtection="0"/>
    <xf numFmtId="0" fontId="91" fillId="45" borderId="15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9" fontId="1" fillId="0" borderId="0" applyFont="0" applyFill="0" applyBorder="0" applyAlignment="0" applyProtection="0"/>
    <xf numFmtId="9" fontId="2" fillId="0" borderId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>
      <alignment vertical="top"/>
      <protection/>
    </xf>
    <xf numFmtId="0" fontId="9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3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94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80">
    <xf numFmtId="0" fontId="0" fillId="0" borderId="0" xfId="0" applyFont="1" applyAlignment="1">
      <alignment/>
    </xf>
    <xf numFmtId="0" fontId="19" fillId="0" borderId="19" xfId="107" applyFont="1" applyFill="1" applyBorder="1" applyAlignment="1">
      <alignment horizontal="center" vertical="center" wrapText="1"/>
      <protection/>
    </xf>
    <xf numFmtId="0" fontId="19" fillId="0" borderId="19" xfId="107" applyFont="1" applyBorder="1" applyAlignment="1">
      <alignment horizontal="center"/>
      <protection/>
    </xf>
    <xf numFmtId="49" fontId="19" fillId="0" borderId="20" xfId="107" applyNumberFormat="1" applyFont="1" applyBorder="1" applyAlignment="1">
      <alignment horizontal="center"/>
      <protection/>
    </xf>
    <xf numFmtId="0" fontId="19" fillId="0" borderId="0" xfId="107" applyFont="1" applyFill="1">
      <alignment/>
      <protection/>
    </xf>
    <xf numFmtId="49" fontId="19" fillId="0" borderId="0" xfId="107" applyNumberFormat="1" applyFont="1" applyAlignment="1">
      <alignment horizontal="center" vertical="center"/>
      <protection/>
    </xf>
    <xf numFmtId="49" fontId="20" fillId="46" borderId="19" xfId="107" applyNumberFormat="1" applyFont="1" applyFill="1" applyBorder="1" applyAlignment="1">
      <alignment horizontal="center" vertical="center"/>
      <protection/>
    </xf>
    <xf numFmtId="0" fontId="20" fillId="46" borderId="19" xfId="107" applyFont="1" applyFill="1" applyBorder="1" applyAlignment="1">
      <alignment horizontal="center" vertical="center" wrapText="1"/>
      <protection/>
    </xf>
    <xf numFmtId="49" fontId="19" fillId="0" borderId="19" xfId="107" applyNumberFormat="1" applyFont="1" applyBorder="1" applyAlignment="1">
      <alignment horizontal="center" vertical="center"/>
      <protection/>
    </xf>
    <xf numFmtId="0" fontId="20" fillId="11" borderId="19" xfId="107" applyFont="1" applyFill="1" applyBorder="1" applyAlignment="1">
      <alignment horizontal="center" vertical="center"/>
      <protection/>
    </xf>
    <xf numFmtId="0" fontId="20" fillId="11" borderId="19" xfId="107" applyFont="1" applyFill="1" applyBorder="1" applyAlignment="1">
      <alignment horizontal="center" vertical="center" wrapText="1"/>
      <protection/>
    </xf>
    <xf numFmtId="4" fontId="20" fillId="11" borderId="19" xfId="73" applyNumberFormat="1" applyFont="1" applyFill="1" applyBorder="1" applyAlignment="1" applyProtection="1">
      <alignment horizontal="center" vertical="center" wrapText="1"/>
      <protection/>
    </xf>
    <xf numFmtId="0" fontId="19" fillId="0" borderId="19" xfId="107" applyFont="1" applyFill="1" applyBorder="1" applyAlignment="1">
      <alignment horizontal="center" vertical="center" wrapText="1"/>
      <protection/>
    </xf>
    <xf numFmtId="0" fontId="20" fillId="46" borderId="19" xfId="107" applyFont="1" applyFill="1" applyBorder="1" applyAlignment="1">
      <alignment vertical="center" wrapText="1"/>
      <protection/>
    </xf>
    <xf numFmtId="3" fontId="20" fillId="46" borderId="19" xfId="73" applyNumberFormat="1" applyFont="1" applyFill="1" applyBorder="1" applyAlignment="1" applyProtection="1">
      <alignment vertical="center" wrapText="1"/>
      <protection/>
    </xf>
    <xf numFmtId="0" fontId="20" fillId="52" borderId="19" xfId="107" applyFont="1" applyFill="1" applyBorder="1" applyAlignment="1">
      <alignment vertical="center" wrapText="1"/>
      <protection/>
    </xf>
    <xf numFmtId="0" fontId="20" fillId="52" borderId="19" xfId="107" applyFont="1" applyFill="1" applyBorder="1" applyAlignment="1">
      <alignment horizontal="center" vertical="center" wrapText="1"/>
      <protection/>
    </xf>
    <xf numFmtId="3" fontId="20" fillId="52" borderId="19" xfId="73" applyNumberFormat="1" applyFont="1" applyFill="1" applyBorder="1" applyAlignment="1" applyProtection="1">
      <alignment vertical="center" wrapText="1"/>
      <protection/>
    </xf>
    <xf numFmtId="0" fontId="19" fillId="0" borderId="19" xfId="107" applyFont="1" applyFill="1" applyBorder="1" applyAlignment="1">
      <alignment vertical="center" wrapText="1"/>
      <protection/>
    </xf>
    <xf numFmtId="3" fontId="19" fillId="0" borderId="19" xfId="73" applyNumberFormat="1" applyFont="1" applyFill="1" applyBorder="1" applyAlignment="1" applyProtection="1">
      <alignment vertical="center" wrapText="1"/>
      <protection/>
    </xf>
    <xf numFmtId="0" fontId="20" fillId="52" borderId="21" xfId="107" applyFont="1" applyFill="1" applyBorder="1" applyAlignment="1">
      <alignment vertical="center" wrapText="1"/>
      <protection/>
    </xf>
    <xf numFmtId="0" fontId="20" fillId="52" borderId="21" xfId="107" applyFont="1" applyFill="1" applyBorder="1" applyAlignment="1">
      <alignment horizontal="center" vertical="center" wrapText="1"/>
      <protection/>
    </xf>
    <xf numFmtId="3" fontId="20" fillId="52" borderId="21" xfId="73" applyNumberFormat="1" applyFont="1" applyFill="1" applyBorder="1" applyAlignment="1" applyProtection="1">
      <alignment vertical="center" wrapText="1"/>
      <protection/>
    </xf>
    <xf numFmtId="49" fontId="19" fillId="0" borderId="22" xfId="107" applyNumberFormat="1" applyFont="1" applyFill="1" applyBorder="1" applyAlignment="1">
      <alignment vertical="center" wrapText="1"/>
      <protection/>
    </xf>
    <xf numFmtId="0" fontId="19" fillId="0" borderId="23" xfId="107" applyNumberFormat="1" applyFont="1" applyFill="1" applyBorder="1" applyAlignment="1">
      <alignment horizontal="center" vertical="center" wrapText="1"/>
      <protection/>
    </xf>
    <xf numFmtId="3" fontId="19" fillId="0" borderId="20" xfId="73" applyNumberFormat="1" applyFont="1" applyFill="1" applyBorder="1" applyAlignment="1" applyProtection="1">
      <alignment vertical="center" wrapText="1"/>
      <protection/>
    </xf>
    <xf numFmtId="0" fontId="19" fillId="0" borderId="22" xfId="107" applyFont="1" applyBorder="1" applyAlignment="1">
      <alignment vertical="center" wrapText="1"/>
      <protection/>
    </xf>
    <xf numFmtId="0" fontId="20" fillId="52" borderId="24" xfId="107" applyFont="1" applyFill="1" applyBorder="1" applyAlignment="1">
      <alignment vertical="center" wrapText="1"/>
      <protection/>
    </xf>
    <xf numFmtId="0" fontId="20" fillId="52" borderId="24" xfId="107" applyFont="1" applyFill="1" applyBorder="1" applyAlignment="1">
      <alignment horizontal="center" vertical="center" wrapText="1"/>
      <protection/>
    </xf>
    <xf numFmtId="3" fontId="20" fillId="52" borderId="24" xfId="73" applyNumberFormat="1" applyFont="1" applyFill="1" applyBorder="1" applyAlignment="1" applyProtection="1">
      <alignment vertical="center" wrapText="1"/>
      <protection/>
    </xf>
    <xf numFmtId="0" fontId="19" fillId="0" borderId="19" xfId="107" applyFont="1" applyFill="1" applyBorder="1" applyAlignment="1">
      <alignment horizontal="center"/>
      <protection/>
    </xf>
    <xf numFmtId="3" fontId="19" fillId="0" borderId="19" xfId="73" applyNumberFormat="1" applyFont="1" applyFill="1" applyBorder="1" applyAlignment="1" applyProtection="1">
      <alignment/>
      <protection/>
    </xf>
    <xf numFmtId="0" fontId="20" fillId="52" borderId="19" xfId="107" applyFont="1" applyFill="1" applyBorder="1" applyAlignment="1">
      <alignment horizontal="center"/>
      <protection/>
    </xf>
    <xf numFmtId="3" fontId="20" fillId="52" borderId="19" xfId="73" applyNumberFormat="1" applyFont="1" applyFill="1" applyBorder="1" applyAlignment="1" applyProtection="1">
      <alignment/>
      <protection/>
    </xf>
    <xf numFmtId="0" fontId="19" fillId="0" borderId="0" xfId="107" applyFont="1" applyFill="1" applyAlignment="1">
      <alignment horizontal="center"/>
      <protection/>
    </xf>
    <xf numFmtId="3" fontId="19" fillId="0" borderId="0" xfId="73" applyNumberFormat="1" applyFont="1" applyFill="1" applyBorder="1" applyAlignment="1" applyProtection="1">
      <alignment/>
      <protection/>
    </xf>
    <xf numFmtId="0" fontId="20" fillId="46" borderId="19" xfId="107" applyFont="1" applyFill="1" applyBorder="1" applyAlignment="1">
      <alignment horizontal="center" vertical="center"/>
      <protection/>
    </xf>
    <xf numFmtId="49" fontId="20" fillId="52" borderId="19" xfId="107" applyNumberFormat="1" applyFont="1" applyFill="1" applyBorder="1" applyAlignment="1">
      <alignment horizontal="center" vertical="center"/>
      <protection/>
    </xf>
    <xf numFmtId="49" fontId="20" fillId="52" borderId="21" xfId="107" applyNumberFormat="1" applyFont="1" applyFill="1" applyBorder="1" applyAlignment="1">
      <alignment horizontal="center" vertical="center"/>
      <protection/>
    </xf>
    <xf numFmtId="49" fontId="19" fillId="0" borderId="20" xfId="107" applyNumberFormat="1" applyFont="1" applyFill="1" applyBorder="1" applyAlignment="1">
      <alignment horizontal="center" vertical="center"/>
      <protection/>
    </xf>
    <xf numFmtId="49" fontId="19" fillId="0" borderId="20" xfId="107" applyNumberFormat="1" applyFont="1" applyBorder="1" applyAlignment="1">
      <alignment horizontal="center" vertical="center"/>
      <protection/>
    </xf>
    <xf numFmtId="49" fontId="20" fillId="52" borderId="24" xfId="107" applyNumberFormat="1" applyFont="1" applyFill="1" applyBorder="1" applyAlignment="1">
      <alignment horizontal="center" vertical="center"/>
      <protection/>
    </xf>
    <xf numFmtId="0" fontId="19" fillId="0" borderId="20" xfId="107" applyFont="1" applyBorder="1" applyAlignment="1">
      <alignment vertical="center" wrapText="1"/>
      <protection/>
    </xf>
    <xf numFmtId="0" fontId="19" fillId="0" borderId="20" xfId="107" applyNumberFormat="1" applyFont="1" applyFill="1" applyBorder="1" applyAlignment="1">
      <alignment horizontal="center" vertical="center" wrapText="1"/>
      <protection/>
    </xf>
    <xf numFmtId="0" fontId="19" fillId="0" borderId="20" xfId="107" applyFont="1" applyBorder="1" applyAlignment="1">
      <alignment horizontal="center" vertical="center" wrapText="1"/>
      <protection/>
    </xf>
    <xf numFmtId="0" fontId="19" fillId="0" borderId="20" xfId="107" applyFont="1" applyFill="1" applyBorder="1" applyAlignment="1">
      <alignment vertical="center" wrapText="1"/>
      <protection/>
    </xf>
    <xf numFmtId="0" fontId="19" fillId="0" borderId="20" xfId="107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/>
    </xf>
    <xf numFmtId="0" fontId="25" fillId="0" borderId="0" xfId="0" applyFont="1" applyAlignment="1">
      <alignment/>
    </xf>
    <xf numFmtId="0" fontId="36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 vertical="center" wrapText="1"/>
    </xf>
    <xf numFmtId="0" fontId="26" fillId="0" borderId="0" xfId="0" applyFont="1" applyAlignment="1">
      <alignment/>
    </xf>
    <xf numFmtId="183" fontId="26" fillId="0" borderId="0" xfId="0" applyNumberFormat="1" applyFont="1" applyFill="1" applyAlignment="1">
      <alignment/>
    </xf>
    <xf numFmtId="0" fontId="19" fillId="0" borderId="25" xfId="107" applyFont="1" applyFill="1" applyBorder="1" applyAlignment="1">
      <alignment horizontal="center" vertical="center" wrapText="1"/>
      <protection/>
    </xf>
    <xf numFmtId="0" fontId="36" fillId="0" borderId="0" xfId="0" applyFont="1" applyAlignment="1">
      <alignment horizontal="left"/>
    </xf>
    <xf numFmtId="4" fontId="36" fillId="0" borderId="0" xfId="71" applyNumberFormat="1" applyFont="1" applyAlignment="1">
      <alignment horizontal="right"/>
    </xf>
    <xf numFmtId="4" fontId="36" fillId="0" borderId="0" xfId="71" applyNumberFormat="1" applyFont="1" applyAlignment="1">
      <alignment/>
    </xf>
    <xf numFmtId="0" fontId="36" fillId="0" borderId="0" xfId="0" applyFont="1" applyAlignment="1">
      <alignment/>
    </xf>
    <xf numFmtId="49" fontId="28" fillId="11" borderId="26" xfId="0" applyNumberFormat="1" applyFont="1" applyFill="1" applyBorder="1" applyAlignment="1">
      <alignment horizontal="center" vertical="center" wrapText="1"/>
    </xf>
    <xf numFmtId="0" fontId="28" fillId="11" borderId="26" xfId="0" applyFont="1" applyFill="1" applyBorder="1" applyAlignment="1">
      <alignment horizontal="center" vertical="center" wrapText="1" shrinkToFit="1"/>
    </xf>
    <xf numFmtId="49" fontId="26" fillId="0" borderId="26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 wrapText="1"/>
    </xf>
    <xf numFmtId="180" fontId="26" fillId="0" borderId="26" xfId="73" applyNumberFormat="1" applyFont="1" applyFill="1" applyBorder="1" applyAlignment="1" applyProtection="1">
      <alignment horizontal="right" vertical="center" wrapText="1"/>
      <protection/>
    </xf>
    <xf numFmtId="49" fontId="28" fillId="46" borderId="26" xfId="0" applyNumberFormat="1" applyFont="1" applyFill="1" applyBorder="1" applyAlignment="1">
      <alignment horizontal="center"/>
    </xf>
    <xf numFmtId="0" fontId="28" fillId="46" borderId="26" xfId="0" applyFont="1" applyFill="1" applyBorder="1" applyAlignment="1">
      <alignment horizontal="left"/>
    </xf>
    <xf numFmtId="180" fontId="28" fillId="46" borderId="26" xfId="73" applyNumberFormat="1" applyFont="1" applyFill="1" applyBorder="1" applyAlignment="1" applyProtection="1">
      <alignment horizontal="right" vertical="center" wrapText="1"/>
      <protection/>
    </xf>
    <xf numFmtId="49" fontId="26" fillId="0" borderId="26" xfId="0" applyNumberFormat="1" applyFont="1" applyFill="1" applyBorder="1" applyAlignment="1">
      <alignment horizontal="center"/>
    </xf>
    <xf numFmtId="0" fontId="26" fillId="0" borderId="26" xfId="0" applyFont="1" applyFill="1" applyBorder="1" applyAlignment="1">
      <alignment horizontal="left"/>
    </xf>
    <xf numFmtId="0" fontId="26" fillId="0" borderId="26" xfId="0" applyNumberFormat="1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/>
    </xf>
    <xf numFmtId="0" fontId="32" fillId="0" borderId="26" xfId="0" applyFont="1" applyBorder="1" applyAlignment="1">
      <alignment/>
    </xf>
    <xf numFmtId="1" fontId="26" fillId="0" borderId="26" xfId="0" applyNumberFormat="1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left" vertical="center" wrapText="1"/>
    </xf>
    <xf numFmtId="0" fontId="28" fillId="46" borderId="26" xfId="0" applyFont="1" applyFill="1" applyBorder="1" applyAlignment="1">
      <alignment horizontal="center"/>
    </xf>
    <xf numFmtId="0" fontId="28" fillId="46" borderId="26" xfId="0" applyFont="1" applyFill="1" applyBorder="1" applyAlignment="1">
      <alignment horizontal="justify"/>
    </xf>
    <xf numFmtId="0" fontId="26" fillId="0" borderId="26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justify"/>
    </xf>
    <xf numFmtId="0" fontId="32" fillId="0" borderId="26" xfId="0" applyFont="1" applyFill="1" applyBorder="1" applyAlignment="1">
      <alignment horizontal="justify" vertical="center" wrapText="1"/>
    </xf>
    <xf numFmtId="0" fontId="32" fillId="0" borderId="26" xfId="0" applyFont="1" applyFill="1" applyBorder="1" applyAlignment="1">
      <alignment vertical="center" wrapText="1"/>
    </xf>
    <xf numFmtId="180" fontId="28" fillId="46" borderId="26" xfId="71" applyNumberFormat="1" applyFont="1" applyFill="1" applyBorder="1" applyAlignment="1">
      <alignment horizontal="right" vertical="center" wrapText="1"/>
    </xf>
    <xf numFmtId="1" fontId="28" fillId="46" borderId="26" xfId="0" applyNumberFormat="1" applyFont="1" applyFill="1" applyBorder="1" applyAlignment="1">
      <alignment horizontal="center" vertical="center" wrapText="1"/>
    </xf>
    <xf numFmtId="0" fontId="28" fillId="46" borderId="26" xfId="0" applyFont="1" applyFill="1" applyBorder="1" applyAlignment="1">
      <alignment vertical="center" wrapText="1"/>
    </xf>
    <xf numFmtId="180" fontId="28" fillId="46" borderId="26" xfId="0" applyNumberFormat="1" applyFont="1" applyFill="1" applyBorder="1" applyAlignment="1">
      <alignment horizontal="right" vertical="center" wrapText="1"/>
    </xf>
    <xf numFmtId="0" fontId="26" fillId="0" borderId="26" xfId="0" applyFont="1" applyFill="1" applyBorder="1" applyAlignment="1">
      <alignment wrapText="1"/>
    </xf>
    <xf numFmtId="49" fontId="26" fillId="0" borderId="26" xfId="0" applyNumberFormat="1" applyFont="1" applyBorder="1" applyAlignment="1">
      <alignment horizontal="center"/>
    </xf>
    <xf numFmtId="0" fontId="26" fillId="0" borderId="26" xfId="0" applyFont="1" applyBorder="1" applyAlignment="1">
      <alignment horizontal="left"/>
    </xf>
    <xf numFmtId="0" fontId="28" fillId="7" borderId="26" xfId="0" applyFont="1" applyFill="1" applyBorder="1" applyAlignment="1">
      <alignment/>
    </xf>
    <xf numFmtId="49" fontId="28" fillId="7" borderId="26" xfId="0" applyNumberFormat="1" applyFont="1" applyFill="1" applyBorder="1" applyAlignment="1">
      <alignment vertical="center" wrapText="1"/>
    </xf>
    <xf numFmtId="180" fontId="28" fillId="7" borderId="26" xfId="0" applyNumberFormat="1" applyFont="1" applyFill="1" applyBorder="1" applyAlignment="1">
      <alignment horizontal="right" vertical="center" wrapText="1"/>
    </xf>
    <xf numFmtId="49" fontId="28" fillId="55" borderId="26" xfId="0" applyNumberFormat="1" applyFont="1" applyFill="1" applyBorder="1" applyAlignment="1">
      <alignment horizontal="center" vertical="center"/>
    </xf>
    <xf numFmtId="0" fontId="28" fillId="55" borderId="26" xfId="0" applyFont="1" applyFill="1" applyBorder="1" applyAlignment="1">
      <alignment horizontal="left" vertical="center"/>
    </xf>
    <xf numFmtId="180" fontId="26" fillId="55" borderId="26" xfId="0" applyNumberFormat="1" applyFont="1" applyFill="1" applyBorder="1" applyAlignment="1">
      <alignment horizontal="right" vertical="center" wrapText="1"/>
    </xf>
    <xf numFmtId="49" fontId="28" fillId="56" borderId="26" xfId="0" applyNumberFormat="1" applyFont="1" applyFill="1" applyBorder="1" applyAlignment="1">
      <alignment horizontal="center"/>
    </xf>
    <xf numFmtId="0" fontId="28" fillId="56" borderId="26" xfId="0" applyFont="1" applyFill="1" applyBorder="1" applyAlignment="1">
      <alignment horizontal="left"/>
    </xf>
    <xf numFmtId="180" fontId="28" fillId="56" borderId="26" xfId="73" applyNumberFormat="1" applyFont="1" applyFill="1" applyBorder="1" applyAlignment="1" applyProtection="1">
      <alignment horizontal="right" vertical="center" wrapText="1"/>
      <protection/>
    </xf>
    <xf numFmtId="0" fontId="25" fillId="0" borderId="0" xfId="0" applyFont="1" applyAlignment="1">
      <alignment/>
    </xf>
    <xf numFmtId="0" fontId="31" fillId="0" borderId="27" xfId="0" applyFont="1" applyBorder="1" applyAlignment="1">
      <alignment/>
    </xf>
    <xf numFmtId="0" fontId="31" fillId="0" borderId="28" xfId="0" applyFont="1" applyBorder="1" applyAlignment="1">
      <alignment/>
    </xf>
    <xf numFmtId="0" fontId="24" fillId="11" borderId="29" xfId="107" applyFont="1" applyFill="1" applyBorder="1" applyAlignment="1">
      <alignment horizontal="center" vertical="center" wrapText="1"/>
      <protection/>
    </xf>
    <xf numFmtId="0" fontId="24" fillId="11" borderId="30" xfId="107" applyFont="1" applyFill="1" applyBorder="1" applyAlignment="1">
      <alignment horizontal="center" vertical="center" wrapText="1"/>
      <protection/>
    </xf>
    <xf numFmtId="49" fontId="29" fillId="0" borderId="29" xfId="107" applyNumberFormat="1" applyFont="1" applyFill="1" applyBorder="1" applyAlignment="1">
      <alignment horizontal="center" vertical="center" wrapText="1"/>
      <protection/>
    </xf>
    <xf numFmtId="49" fontId="29" fillId="0" borderId="30" xfId="107" applyNumberFormat="1" applyFont="1" applyFill="1" applyBorder="1" applyAlignment="1">
      <alignment horizontal="center" vertical="center" wrapText="1"/>
      <protection/>
    </xf>
    <xf numFmtId="0" fontId="29" fillId="0" borderId="30" xfId="71" applyNumberFormat="1" applyFont="1" applyFill="1" applyBorder="1" applyAlignment="1">
      <alignment horizontal="center" vertical="center" wrapText="1"/>
    </xf>
    <xf numFmtId="49" fontId="25" fillId="57" borderId="29" xfId="0" applyNumberFormat="1" applyFont="1" applyFill="1" applyBorder="1" applyAlignment="1" applyProtection="1">
      <alignment horizontal="center" vertical="top"/>
      <protection/>
    </xf>
    <xf numFmtId="49" fontId="25" fillId="57" borderId="30" xfId="0" applyNumberFormat="1" applyFont="1" applyFill="1" applyBorder="1" applyAlignment="1" applyProtection="1">
      <alignment horizontal="left" vertical="top"/>
      <protection/>
    </xf>
    <xf numFmtId="0" fontId="30" fillId="57" borderId="30" xfId="0" applyFont="1" applyFill="1" applyBorder="1" applyAlignment="1" applyProtection="1">
      <alignment horizontal="left" vertical="top"/>
      <protection/>
    </xf>
    <xf numFmtId="3" fontId="30" fillId="57" borderId="30" xfId="71" applyNumberFormat="1" applyFont="1" applyFill="1" applyBorder="1" applyAlignment="1">
      <alignment/>
    </xf>
    <xf numFmtId="0" fontId="36" fillId="58" borderId="31" xfId="0" applyFont="1" applyFill="1" applyBorder="1" applyAlignment="1">
      <alignment/>
    </xf>
    <xf numFmtId="0" fontId="36" fillId="0" borderId="29" xfId="0" applyFont="1" applyBorder="1" applyAlignment="1">
      <alignment horizontal="center"/>
    </xf>
    <xf numFmtId="0" fontId="36" fillId="0" borderId="30" xfId="0" applyFont="1" applyBorder="1" applyAlignment="1">
      <alignment horizontal="center"/>
    </xf>
    <xf numFmtId="0" fontId="31" fillId="0" borderId="30" xfId="0" applyFont="1" applyFill="1" applyBorder="1" applyAlignment="1" applyProtection="1">
      <alignment horizontal="left"/>
      <protection/>
    </xf>
    <xf numFmtId="4" fontId="31" fillId="0" borderId="30" xfId="71" applyNumberFormat="1" applyFont="1" applyBorder="1" applyAlignment="1">
      <alignment/>
    </xf>
    <xf numFmtId="0" fontId="31" fillId="0" borderId="31" xfId="0" applyFont="1" applyBorder="1" applyAlignment="1">
      <alignment/>
    </xf>
    <xf numFmtId="4" fontId="30" fillId="57" borderId="30" xfId="71" applyNumberFormat="1" applyFont="1" applyFill="1" applyBorder="1" applyAlignment="1">
      <alignment/>
    </xf>
    <xf numFmtId="0" fontId="31" fillId="0" borderId="30" xfId="0" applyFont="1" applyBorder="1" applyAlignment="1">
      <alignment horizontal="left"/>
    </xf>
    <xf numFmtId="4" fontId="31" fillId="58" borderId="30" xfId="71" applyNumberFormat="1" applyFont="1" applyFill="1" applyBorder="1" applyAlignment="1">
      <alignment/>
    </xf>
    <xf numFmtId="0" fontId="31" fillId="0" borderId="30" xfId="0" applyFont="1" applyBorder="1" applyAlignment="1">
      <alignment horizontal="left"/>
    </xf>
    <xf numFmtId="0" fontId="25" fillId="58" borderId="31" xfId="0" applyFont="1" applyFill="1" applyBorder="1" applyAlignment="1">
      <alignment/>
    </xf>
    <xf numFmtId="49" fontId="36" fillId="0" borderId="30" xfId="0" applyNumberFormat="1" applyFont="1" applyBorder="1" applyAlignment="1" applyProtection="1">
      <alignment horizontal="center" vertical="center"/>
      <protection/>
    </xf>
    <xf numFmtId="0" fontId="31" fillId="0" borderId="30" xfId="0" applyFont="1" applyFill="1" applyBorder="1" applyAlignment="1" applyProtection="1">
      <alignment horizontal="left" vertical="top"/>
      <protection/>
    </xf>
    <xf numFmtId="49" fontId="36" fillId="0" borderId="30" xfId="0" applyNumberFormat="1" applyFont="1" applyBorder="1" applyAlignment="1" applyProtection="1">
      <alignment horizontal="center" vertical="top"/>
      <protection/>
    </xf>
    <xf numFmtId="49" fontId="36" fillId="0" borderId="29" xfId="0" applyNumberFormat="1" applyFont="1" applyBorder="1" applyAlignment="1" applyProtection="1">
      <alignment horizontal="center" vertical="top"/>
      <protection/>
    </xf>
    <xf numFmtId="4" fontId="31" fillId="0" borderId="30" xfId="71" applyNumberFormat="1" applyFont="1" applyFill="1" applyBorder="1" applyAlignment="1" applyProtection="1">
      <alignment/>
      <protection/>
    </xf>
    <xf numFmtId="0" fontId="31" fillId="0" borderId="30" xfId="0" applyFont="1" applyFill="1" applyBorder="1" applyAlignment="1" applyProtection="1">
      <alignment horizontal="center" vertical="top"/>
      <protection/>
    </xf>
    <xf numFmtId="4" fontId="31" fillId="0" borderId="30" xfId="71" applyNumberFormat="1" applyFont="1" applyFill="1" applyBorder="1" applyAlignment="1">
      <alignment/>
    </xf>
    <xf numFmtId="0" fontId="31" fillId="59" borderId="30" xfId="0" applyFont="1" applyFill="1" applyBorder="1" applyAlignment="1" applyProtection="1">
      <alignment horizontal="left"/>
      <protection/>
    </xf>
    <xf numFmtId="0" fontId="31" fillId="0" borderId="31" xfId="0" applyFont="1" applyBorder="1" applyAlignment="1">
      <alignment wrapText="1"/>
    </xf>
    <xf numFmtId="0" fontId="36" fillId="0" borderId="29" xfId="0" applyFont="1" applyBorder="1" applyAlignment="1">
      <alignment/>
    </xf>
    <xf numFmtId="49" fontId="25" fillId="57" borderId="29" xfId="0" applyNumberFormat="1" applyFont="1" applyFill="1" applyBorder="1" applyAlignment="1" applyProtection="1">
      <alignment horizontal="center" vertical="top"/>
      <protection/>
    </xf>
    <xf numFmtId="49" fontId="25" fillId="57" borderId="30" xfId="0" applyNumberFormat="1" applyFont="1" applyFill="1" applyBorder="1" applyAlignment="1" applyProtection="1">
      <alignment horizontal="left" vertical="top"/>
      <protection/>
    </xf>
    <xf numFmtId="0" fontId="25" fillId="58" borderId="31" xfId="0" applyFont="1" applyFill="1" applyBorder="1" applyAlignment="1">
      <alignment/>
    </xf>
    <xf numFmtId="0" fontId="36" fillId="0" borderId="29" xfId="0" applyFont="1" applyBorder="1" applyAlignment="1">
      <alignment/>
    </xf>
    <xf numFmtId="49" fontId="36" fillId="0" borderId="30" xfId="0" applyNumberFormat="1" applyFont="1" applyBorder="1" applyAlignment="1" applyProtection="1">
      <alignment horizontal="center" vertical="center"/>
      <protection/>
    </xf>
    <xf numFmtId="0" fontId="31" fillId="0" borderId="30" xfId="0" applyFont="1" applyBorder="1" applyAlignment="1" applyProtection="1">
      <alignment horizontal="left" vertical="top"/>
      <protection/>
    </xf>
    <xf numFmtId="0" fontId="31" fillId="58" borderId="31" xfId="0" applyFont="1" applyFill="1" applyBorder="1" applyAlignment="1">
      <alignment/>
    </xf>
    <xf numFmtId="49" fontId="36" fillId="0" borderId="29" xfId="0" applyNumberFormat="1" applyFont="1" applyBorder="1" applyAlignment="1" applyProtection="1">
      <alignment horizontal="center" vertical="top"/>
      <protection/>
    </xf>
    <xf numFmtId="49" fontId="36" fillId="0" borderId="30" xfId="0" applyNumberFormat="1" applyFont="1" applyBorder="1" applyAlignment="1" applyProtection="1">
      <alignment horizontal="center" vertical="top"/>
      <protection/>
    </xf>
    <xf numFmtId="0" fontId="31" fillId="0" borderId="30" xfId="0" applyFont="1" applyFill="1" applyBorder="1" applyAlignment="1" applyProtection="1">
      <alignment horizontal="center"/>
      <protection/>
    </xf>
    <xf numFmtId="0" fontId="31" fillId="0" borderId="30" xfId="0" applyFont="1" applyBorder="1" applyAlignment="1" applyProtection="1">
      <alignment horizontal="left" vertical="top" wrapText="1"/>
      <protection/>
    </xf>
    <xf numFmtId="0" fontId="31" fillId="0" borderId="30" xfId="0" applyFont="1" applyBorder="1" applyAlignment="1">
      <alignment horizontal="center" vertical="center"/>
    </xf>
    <xf numFmtId="0" fontId="24" fillId="11" borderId="32" xfId="107" applyFont="1" applyFill="1" applyBorder="1" applyAlignment="1">
      <alignment horizontal="left" vertical="center" wrapText="1"/>
      <protection/>
    </xf>
    <xf numFmtId="3" fontId="27" fillId="11" borderId="32" xfId="71" applyNumberFormat="1" applyFont="1" applyFill="1" applyBorder="1" applyAlignment="1">
      <alignment horizontal="right" vertical="center" wrapText="1"/>
    </xf>
    <xf numFmtId="0" fontId="31" fillId="60" borderId="33" xfId="0" applyFont="1" applyFill="1" applyBorder="1" applyAlignment="1">
      <alignment/>
    </xf>
    <xf numFmtId="0" fontId="37" fillId="0" borderId="31" xfId="0" applyFont="1" applyBorder="1" applyAlignment="1">
      <alignment/>
    </xf>
    <xf numFmtId="0" fontId="24" fillId="61" borderId="0" xfId="107" applyFont="1" applyFill="1" applyBorder="1" applyAlignment="1">
      <alignment horizontal="center" vertical="center" wrapText="1"/>
      <protection/>
    </xf>
    <xf numFmtId="0" fontId="24" fillId="61" borderId="0" xfId="107" applyFont="1" applyFill="1" applyBorder="1" applyAlignment="1">
      <alignment horizontal="left" vertical="center" wrapText="1"/>
      <protection/>
    </xf>
    <xf numFmtId="3" fontId="27" fillId="61" borderId="0" xfId="71" applyNumberFormat="1" applyFont="1" applyFill="1" applyBorder="1" applyAlignment="1">
      <alignment horizontal="right" vertical="center" wrapText="1"/>
    </xf>
    <xf numFmtId="0" fontId="31" fillId="59" borderId="0" xfId="0" applyFont="1" applyFill="1" applyBorder="1" applyAlignment="1">
      <alignment/>
    </xf>
    <xf numFmtId="0" fontId="36" fillId="0" borderId="34" xfId="0" applyFont="1" applyBorder="1" applyAlignment="1">
      <alignment horizontal="center"/>
    </xf>
    <xf numFmtId="49" fontId="95" fillId="59" borderId="35" xfId="0" applyNumberFormat="1" applyFont="1" applyFill="1" applyBorder="1" applyAlignment="1">
      <alignment horizontal="left" vertical="center"/>
    </xf>
    <xf numFmtId="0" fontId="36" fillId="0" borderId="0" xfId="124" applyFont="1" applyAlignment="1">
      <alignment wrapText="1"/>
      <protection/>
    </xf>
    <xf numFmtId="0" fontId="36" fillId="0" borderId="0" xfId="124" applyFont="1">
      <alignment/>
      <protection/>
    </xf>
    <xf numFmtId="49" fontId="24" fillId="62" borderId="29" xfId="124" applyNumberFormat="1" applyFont="1" applyFill="1" applyBorder="1" applyAlignment="1">
      <alignment horizontal="center" wrapText="1"/>
      <protection/>
    </xf>
    <xf numFmtId="49" fontId="24" fillId="62" borderId="30" xfId="124" applyNumberFormat="1" applyFont="1" applyFill="1" applyBorder="1" applyAlignment="1">
      <alignment horizontal="center" wrapText="1"/>
      <protection/>
    </xf>
    <xf numFmtId="49" fontId="24" fillId="62" borderId="30" xfId="124" applyNumberFormat="1" applyFont="1" applyFill="1" applyBorder="1" applyAlignment="1">
      <alignment horizontal="left" vertical="center" wrapText="1"/>
      <protection/>
    </xf>
    <xf numFmtId="180" fontId="24" fillId="62" borderId="30" xfId="73" applyNumberFormat="1" applyFont="1" applyFill="1" applyBorder="1" applyAlignment="1" applyProtection="1">
      <alignment horizontal="right" vertical="center" wrapText="1"/>
      <protection/>
    </xf>
    <xf numFmtId="49" fontId="24" fillId="57" borderId="29" xfId="124" applyNumberFormat="1" applyFont="1" applyFill="1" applyBorder="1" applyAlignment="1">
      <alignment horizontal="left" wrapText="1"/>
      <protection/>
    </xf>
    <xf numFmtId="49" fontId="24" fillId="57" borderId="30" xfId="124" applyNumberFormat="1" applyFont="1" applyFill="1" applyBorder="1" applyAlignment="1">
      <alignment horizontal="center" wrapText="1"/>
      <protection/>
    </xf>
    <xf numFmtId="49" fontId="24" fillId="57" borderId="30" xfId="124" applyNumberFormat="1" applyFont="1" applyFill="1" applyBorder="1" applyAlignment="1">
      <alignment horizontal="left" vertical="center" wrapText="1"/>
      <protection/>
    </xf>
    <xf numFmtId="0" fontId="24" fillId="63" borderId="29" xfId="124" applyFont="1" applyFill="1" applyBorder="1" applyAlignment="1">
      <alignment horizontal="center" vertical="center" wrapText="1"/>
      <protection/>
    </xf>
    <xf numFmtId="0" fontId="24" fillId="63" borderId="30" xfId="124" applyFont="1" applyFill="1" applyBorder="1" applyAlignment="1">
      <alignment horizontal="center" vertical="center" wrapText="1"/>
      <protection/>
    </xf>
    <xf numFmtId="0" fontId="24" fillId="63" borderId="30" xfId="124" applyFont="1" applyFill="1" applyBorder="1" applyAlignment="1">
      <alignment horizontal="left" vertical="center" wrapText="1"/>
      <protection/>
    </xf>
    <xf numFmtId="0" fontId="24" fillId="52" borderId="29" xfId="124" applyFont="1" applyFill="1" applyBorder="1" applyAlignment="1">
      <alignment horizontal="right" vertical="center" wrapText="1"/>
      <protection/>
    </xf>
    <xf numFmtId="0" fontId="40" fillId="52" borderId="30" xfId="124" applyFont="1" applyFill="1" applyBorder="1" applyAlignment="1">
      <alignment horizontal="center" vertical="center" wrapText="1"/>
      <protection/>
    </xf>
    <xf numFmtId="0" fontId="24" fillId="52" borderId="30" xfId="124" applyFont="1" applyFill="1" applyBorder="1" applyAlignment="1">
      <alignment vertical="center" wrapText="1"/>
      <protection/>
    </xf>
    <xf numFmtId="0" fontId="40" fillId="0" borderId="29" xfId="124" applyFont="1" applyFill="1" applyBorder="1" applyAlignment="1">
      <alignment horizontal="center" vertical="center" wrapText="1"/>
      <protection/>
    </xf>
    <xf numFmtId="0" fontId="40" fillId="64" borderId="30" xfId="124" applyFont="1" applyFill="1" applyBorder="1" applyAlignment="1">
      <alignment horizontal="center" vertical="center" wrapText="1"/>
      <protection/>
    </xf>
    <xf numFmtId="0" fontId="40" fillId="0" borderId="30" xfId="124" applyFont="1" applyBorder="1" applyAlignment="1">
      <alignment vertical="center" wrapText="1"/>
      <protection/>
    </xf>
    <xf numFmtId="0" fontId="40" fillId="65" borderId="30" xfId="124" applyFont="1" applyFill="1" applyBorder="1" applyAlignment="1">
      <alignment horizontal="center" vertical="center" wrapText="1"/>
      <protection/>
    </xf>
    <xf numFmtId="0" fontId="24" fillId="0" borderId="29" xfId="124" applyFont="1" applyFill="1" applyBorder="1" applyAlignment="1">
      <alignment horizontal="center" vertical="center" wrapText="1"/>
      <protection/>
    </xf>
    <xf numFmtId="0" fontId="24" fillId="52" borderId="30" xfId="124" applyFont="1" applyFill="1" applyBorder="1" applyAlignment="1">
      <alignment horizontal="center" vertical="center" wrapText="1"/>
      <protection/>
    </xf>
    <xf numFmtId="49" fontId="40" fillId="0" borderId="29" xfId="124" applyNumberFormat="1" applyFont="1" applyFill="1" applyBorder="1" applyAlignment="1">
      <alignment horizontal="center" vertical="center" wrapText="1"/>
      <protection/>
    </xf>
    <xf numFmtId="49" fontId="24" fillId="52" borderId="29" xfId="124" applyNumberFormat="1" applyFont="1" applyFill="1" applyBorder="1" applyAlignment="1">
      <alignment horizontal="right" vertical="center" wrapText="1"/>
      <protection/>
    </xf>
    <xf numFmtId="49" fontId="40" fillId="52" borderId="30" xfId="124" applyNumberFormat="1" applyFont="1" applyFill="1" applyBorder="1" applyAlignment="1">
      <alignment horizontal="center" vertical="center" wrapText="1"/>
      <protection/>
    </xf>
    <xf numFmtId="49" fontId="24" fillId="52" borderId="30" xfId="124" applyNumberFormat="1" applyFont="1" applyFill="1" applyBorder="1" applyAlignment="1">
      <alignment vertical="center" wrapText="1"/>
      <protection/>
    </xf>
    <xf numFmtId="49" fontId="40" fillId="65" borderId="30" xfId="124" applyNumberFormat="1" applyFont="1" applyFill="1" applyBorder="1" applyAlignment="1">
      <alignment horizontal="center" vertical="center" wrapText="1"/>
      <protection/>
    </xf>
    <xf numFmtId="49" fontId="24" fillId="63" borderId="29" xfId="124" applyNumberFormat="1" applyFont="1" applyFill="1" applyBorder="1" applyAlignment="1">
      <alignment horizontal="center" vertical="center" wrapText="1"/>
      <protection/>
    </xf>
    <xf numFmtId="49" fontId="40" fillId="63" borderId="30" xfId="124" applyNumberFormat="1" applyFont="1" applyFill="1" applyBorder="1" applyAlignment="1">
      <alignment horizontal="center" vertical="center" wrapText="1"/>
      <protection/>
    </xf>
    <xf numFmtId="49" fontId="24" fillId="63" borderId="30" xfId="124" applyNumberFormat="1" applyFont="1" applyFill="1" applyBorder="1" applyAlignment="1">
      <alignment vertical="center" wrapText="1"/>
      <protection/>
    </xf>
    <xf numFmtId="49" fontId="40" fillId="66" borderId="30" xfId="124" applyNumberFormat="1" applyFont="1" applyFill="1" applyBorder="1" applyAlignment="1">
      <alignment horizontal="center" vertical="center" wrapText="1"/>
      <protection/>
    </xf>
    <xf numFmtId="49" fontId="40" fillId="0" borderId="30" xfId="124" applyNumberFormat="1" applyFont="1" applyFill="1" applyBorder="1" applyAlignment="1">
      <alignment vertical="center" wrapText="1"/>
      <protection/>
    </xf>
    <xf numFmtId="49" fontId="24" fillId="0" borderId="29" xfId="124" applyNumberFormat="1" applyFont="1" applyFill="1" applyBorder="1" applyAlignment="1">
      <alignment horizontal="center" vertical="center" wrapText="1"/>
      <protection/>
    </xf>
    <xf numFmtId="0" fontId="40" fillId="66" borderId="30" xfId="124" applyFont="1" applyFill="1" applyBorder="1" applyAlignment="1">
      <alignment horizontal="center"/>
      <protection/>
    </xf>
    <xf numFmtId="0" fontId="40" fillId="0" borderId="30" xfId="124" applyFont="1" applyBorder="1">
      <alignment/>
      <protection/>
    </xf>
    <xf numFmtId="49" fontId="40" fillId="64" borderId="30" xfId="124" applyNumberFormat="1" applyFont="1" applyFill="1" applyBorder="1" applyAlignment="1">
      <alignment horizontal="center" vertical="center" wrapText="1"/>
      <protection/>
    </xf>
    <xf numFmtId="49" fontId="40" fillId="56" borderId="30" xfId="124" applyNumberFormat="1" applyFont="1" applyFill="1" applyBorder="1" applyAlignment="1">
      <alignment horizontal="center" vertical="center" wrapText="1"/>
      <protection/>
    </xf>
    <xf numFmtId="49" fontId="24" fillId="67" borderId="29" xfId="124" applyNumberFormat="1" applyFont="1" applyFill="1" applyBorder="1" applyAlignment="1">
      <alignment horizontal="center" vertical="center" wrapText="1"/>
      <protection/>
    </xf>
    <xf numFmtId="49" fontId="40" fillId="67" borderId="30" xfId="124" applyNumberFormat="1" applyFont="1" applyFill="1" applyBorder="1" applyAlignment="1">
      <alignment horizontal="center" vertical="center" wrapText="1"/>
      <protection/>
    </xf>
    <xf numFmtId="49" fontId="24" fillId="67" borderId="30" xfId="124" applyNumberFormat="1" applyFont="1" applyFill="1" applyBorder="1" applyAlignment="1">
      <alignment vertical="center" wrapText="1"/>
      <protection/>
    </xf>
    <xf numFmtId="49" fontId="24" fillId="46" borderId="29" xfId="124" applyNumberFormat="1" applyFont="1" applyFill="1" applyBorder="1" applyAlignment="1">
      <alignment horizontal="left" vertical="center" wrapText="1"/>
      <protection/>
    </xf>
    <xf numFmtId="49" fontId="40" fillId="46" borderId="30" xfId="124" applyNumberFormat="1" applyFont="1" applyFill="1" applyBorder="1" applyAlignment="1">
      <alignment horizontal="center" vertical="center" wrapText="1"/>
      <protection/>
    </xf>
    <xf numFmtId="49" fontId="24" fillId="46" borderId="30" xfId="124" applyNumberFormat="1" applyFont="1" applyFill="1" applyBorder="1" applyAlignment="1">
      <alignment vertical="center" wrapText="1"/>
      <protection/>
    </xf>
    <xf numFmtId="0" fontId="24" fillId="67" borderId="29" xfId="124" applyFont="1" applyFill="1" applyBorder="1" applyAlignment="1">
      <alignment horizontal="center" vertical="center" wrapText="1"/>
      <protection/>
    </xf>
    <xf numFmtId="0" fontId="24" fillId="67" borderId="30" xfId="124" applyFont="1" applyFill="1" applyBorder="1">
      <alignment/>
      <protection/>
    </xf>
    <xf numFmtId="0" fontId="24" fillId="67" borderId="30" xfId="124" applyFont="1" applyFill="1" applyBorder="1" applyAlignment="1">
      <alignment horizontal="center" vertical="top" wrapText="1"/>
      <protection/>
    </xf>
    <xf numFmtId="0" fontId="24" fillId="67" borderId="30" xfId="124" applyFont="1" applyFill="1" applyBorder="1" applyAlignment="1">
      <alignment wrapText="1"/>
      <protection/>
    </xf>
    <xf numFmtId="0" fontId="40" fillId="46" borderId="30" xfId="124" applyFont="1" applyFill="1" applyBorder="1">
      <alignment/>
      <protection/>
    </xf>
    <xf numFmtId="0" fontId="24" fillId="46" borderId="30" xfId="124" applyFont="1" applyFill="1" applyBorder="1">
      <alignment/>
      <protection/>
    </xf>
    <xf numFmtId="49" fontId="40" fillId="0" borderId="30" xfId="124" applyNumberFormat="1" applyFont="1" applyFill="1" applyBorder="1" applyAlignment="1">
      <alignment horizontal="center" vertical="center" wrapText="1"/>
      <protection/>
    </xf>
    <xf numFmtId="49" fontId="96" fillId="68" borderId="20" xfId="0" applyNumberFormat="1" applyFont="1" applyFill="1" applyBorder="1" applyAlignment="1" applyProtection="1">
      <alignment horizontal="center" vertical="top"/>
      <protection/>
    </xf>
    <xf numFmtId="49" fontId="96" fillId="68" borderId="20" xfId="0" applyNumberFormat="1" applyFont="1" applyFill="1" applyBorder="1" applyAlignment="1" applyProtection="1">
      <alignment horizontal="left" vertical="top"/>
      <protection/>
    </xf>
    <xf numFmtId="0" fontId="30" fillId="68" borderId="20" xfId="0" applyFont="1" applyFill="1" applyBorder="1" applyAlignment="1" applyProtection="1">
      <alignment horizontal="left" vertical="top"/>
      <protection/>
    </xf>
    <xf numFmtId="3" fontId="96" fillId="68" borderId="20" xfId="71" applyNumberFormat="1" applyFont="1" applyFill="1" applyBorder="1" applyAlignment="1">
      <alignment vertical="center"/>
    </xf>
    <xf numFmtId="0" fontId="97" fillId="0" borderId="27" xfId="0" applyFont="1" applyBorder="1" applyAlignment="1">
      <alignment horizontal="center"/>
    </xf>
    <xf numFmtId="0" fontId="31" fillId="0" borderId="27" xfId="0" applyFont="1" applyFill="1" applyBorder="1" applyAlignment="1" applyProtection="1">
      <alignment horizontal="left"/>
      <protection/>
    </xf>
    <xf numFmtId="0" fontId="97" fillId="0" borderId="28" xfId="0" applyFont="1" applyBorder="1" applyAlignment="1">
      <alignment horizontal="center"/>
    </xf>
    <xf numFmtId="0" fontId="31" fillId="0" borderId="28" xfId="0" applyFont="1" applyFill="1" applyBorder="1" applyAlignment="1" applyProtection="1">
      <alignment horizontal="left"/>
      <protection/>
    </xf>
    <xf numFmtId="0" fontId="31" fillId="0" borderId="30" xfId="0" applyFont="1" applyBorder="1" applyAlignment="1">
      <alignment wrapText="1"/>
    </xf>
    <xf numFmtId="49" fontId="31" fillId="0" borderId="30" xfId="0" applyNumberFormat="1" applyFont="1" applyBorder="1" applyAlignment="1" applyProtection="1">
      <alignment horizontal="center" vertical="top"/>
      <protection/>
    </xf>
    <xf numFmtId="0" fontId="43" fillId="0" borderId="30" xfId="0" applyFont="1" applyFill="1" applyBorder="1" applyAlignment="1" applyProtection="1">
      <alignment horizontal="left" wrapText="1"/>
      <protection/>
    </xf>
    <xf numFmtId="3" fontId="43" fillId="0" borderId="30" xfId="0" applyNumberFormat="1" applyFont="1" applyFill="1" applyBorder="1" applyAlignment="1" applyProtection="1">
      <alignment horizontal="left" wrapText="1"/>
      <protection/>
    </xf>
    <xf numFmtId="0" fontId="39" fillId="0" borderId="30" xfId="0" applyFont="1" applyBorder="1" applyAlignment="1">
      <alignment horizontal="center"/>
    </xf>
    <xf numFmtId="0" fontId="31" fillId="0" borderId="30" xfId="0" applyFont="1" applyBorder="1" applyAlignment="1">
      <alignment horizontal="left" wrapText="1"/>
    </xf>
    <xf numFmtId="0" fontId="44" fillId="59" borderId="30" xfId="125" applyFont="1" applyFill="1" applyBorder="1" applyAlignment="1">
      <alignment horizontal="left" wrapText="1"/>
      <protection/>
    </xf>
    <xf numFmtId="0" fontId="36" fillId="0" borderId="30" xfId="0" applyFont="1" applyBorder="1" applyAlignment="1">
      <alignment horizontal="center"/>
    </xf>
    <xf numFmtId="0" fontId="98" fillId="0" borderId="35" xfId="0" applyFont="1" applyFill="1" applyBorder="1" applyAlignment="1">
      <alignment horizontal="center"/>
    </xf>
    <xf numFmtId="0" fontId="98" fillId="0" borderId="36" xfId="0" applyFont="1" applyBorder="1" applyAlignment="1">
      <alignment horizontal="left" vertical="center"/>
    </xf>
    <xf numFmtId="0" fontId="99" fillId="59" borderId="37" xfId="0" applyFont="1" applyFill="1" applyBorder="1" applyAlignment="1">
      <alignment horizontal="left" vertical="center"/>
    </xf>
    <xf numFmtId="0" fontId="31" fillId="59" borderId="31" xfId="0" applyFont="1" applyFill="1" applyBorder="1" applyAlignment="1">
      <alignment wrapText="1"/>
    </xf>
    <xf numFmtId="0" fontId="31" fillId="0" borderId="31" xfId="0" applyFont="1" applyBorder="1" applyAlignment="1">
      <alignment wrapText="1"/>
    </xf>
    <xf numFmtId="0" fontId="31" fillId="0" borderId="31" xfId="0" applyFont="1" applyBorder="1" applyAlignment="1">
      <alignment/>
    </xf>
    <xf numFmtId="0" fontId="31" fillId="0" borderId="31" xfId="0" applyFont="1" applyBorder="1" applyAlignment="1">
      <alignment horizontal="left" wrapText="1"/>
    </xf>
    <xf numFmtId="4" fontId="38" fillId="0" borderId="30" xfId="71" applyNumberFormat="1" applyFont="1" applyBorder="1" applyAlignment="1">
      <alignment/>
    </xf>
    <xf numFmtId="0" fontId="31" fillId="69" borderId="30" xfId="0" applyFont="1" applyFill="1" applyBorder="1" applyAlignment="1">
      <alignment horizontal="left"/>
    </xf>
    <xf numFmtId="0" fontId="31" fillId="68" borderId="31" xfId="0" applyFont="1" applyFill="1" applyBorder="1" applyAlignment="1">
      <alignment/>
    </xf>
    <xf numFmtId="49" fontId="24" fillId="69" borderId="29" xfId="124" applyNumberFormat="1" applyFont="1" applyFill="1" applyBorder="1" applyAlignment="1">
      <alignment horizontal="center" vertical="center" wrapText="1"/>
      <protection/>
    </xf>
    <xf numFmtId="49" fontId="40" fillId="69" borderId="30" xfId="124" applyNumberFormat="1" applyFont="1" applyFill="1" applyBorder="1" applyAlignment="1">
      <alignment horizontal="center" vertical="center" wrapText="1"/>
      <protection/>
    </xf>
    <xf numFmtId="0" fontId="36" fillId="69" borderId="0" xfId="124" applyFont="1" applyFill="1">
      <alignment/>
      <protection/>
    </xf>
    <xf numFmtId="0" fontId="45" fillId="0" borderId="0" xfId="102" applyFont="1" applyAlignment="1">
      <alignment horizontal="center"/>
      <protection/>
    </xf>
    <xf numFmtId="0" fontId="45" fillId="0" borderId="0" xfId="103" applyFont="1" applyAlignment="1">
      <alignment horizontal="center" vertical="center"/>
      <protection/>
    </xf>
    <xf numFmtId="0" fontId="40" fillId="0" borderId="30" xfId="124" applyFont="1" applyBorder="1" applyAlignment="1">
      <alignment wrapText="1"/>
      <protection/>
    </xf>
    <xf numFmtId="0" fontId="36" fillId="0" borderId="0" xfId="0" applyFont="1" applyBorder="1" applyAlignment="1">
      <alignment/>
    </xf>
    <xf numFmtId="0" fontId="31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vertical="center"/>
    </xf>
    <xf numFmtId="49" fontId="40" fillId="70" borderId="30" xfId="124" applyNumberFormat="1" applyFont="1" applyFill="1" applyBorder="1" applyAlignment="1">
      <alignment horizontal="center" vertical="center" wrapText="1"/>
      <protection/>
    </xf>
    <xf numFmtId="0" fontId="37" fillId="0" borderId="31" xfId="0" applyFont="1" applyBorder="1" applyAlignment="1">
      <alignment wrapText="1"/>
    </xf>
    <xf numFmtId="0" fontId="47" fillId="0" borderId="30" xfId="71" applyNumberFormat="1" applyFont="1" applyFill="1" applyBorder="1" applyAlignment="1">
      <alignment horizontal="center" vertical="center" wrapText="1"/>
    </xf>
    <xf numFmtId="3" fontId="46" fillId="57" borderId="30" xfId="71" applyNumberFormat="1" applyFont="1" applyFill="1" applyBorder="1" applyAlignment="1">
      <alignment/>
    </xf>
    <xf numFmtId="4" fontId="46" fillId="57" borderId="30" xfId="71" applyNumberFormat="1" applyFont="1" applyFill="1" applyBorder="1" applyAlignment="1">
      <alignment/>
    </xf>
    <xf numFmtId="4" fontId="37" fillId="58" borderId="30" xfId="71" applyNumberFormat="1" applyFont="1" applyFill="1" applyBorder="1" applyAlignment="1">
      <alignment/>
    </xf>
    <xf numFmtId="3" fontId="100" fillId="68" borderId="20" xfId="71" applyNumberFormat="1" applyFont="1" applyFill="1" applyBorder="1" applyAlignment="1">
      <alignment vertical="center"/>
    </xf>
    <xf numFmtId="184" fontId="37" fillId="59" borderId="0" xfId="136" applyNumberFormat="1" applyFont="1" applyFill="1" applyBorder="1" applyAlignment="1">
      <alignment horizontal="right"/>
    </xf>
    <xf numFmtId="4" fontId="37" fillId="0" borderId="0" xfId="71" applyNumberFormat="1" applyFont="1" applyAlignment="1">
      <alignment horizontal="right"/>
    </xf>
    <xf numFmtId="4" fontId="37" fillId="0" borderId="0" xfId="71" applyNumberFormat="1" applyFont="1" applyAlignment="1">
      <alignment/>
    </xf>
    <xf numFmtId="0" fontId="98" fillId="69" borderId="0" xfId="0" applyFont="1" applyFill="1" applyAlignment="1">
      <alignment/>
    </xf>
    <xf numFmtId="49" fontId="24" fillId="71" borderId="29" xfId="124" applyNumberFormat="1" applyFont="1" applyFill="1" applyBorder="1" applyAlignment="1">
      <alignment horizontal="center" vertical="center" wrapText="1"/>
      <protection/>
    </xf>
    <xf numFmtId="49" fontId="24" fillId="71" borderId="30" xfId="124" applyNumberFormat="1" applyFont="1" applyFill="1" applyBorder="1" applyAlignment="1">
      <alignment horizontal="center" vertical="center" wrapText="1"/>
      <protection/>
    </xf>
    <xf numFmtId="49" fontId="24" fillId="71" borderId="30" xfId="124" applyNumberFormat="1" applyFont="1" applyFill="1" applyBorder="1" applyAlignment="1">
      <alignment vertical="center" wrapText="1"/>
      <protection/>
    </xf>
    <xf numFmtId="4" fontId="27" fillId="63" borderId="38" xfId="73" applyNumberFormat="1" applyFont="1" applyFill="1" applyBorder="1" applyAlignment="1" applyProtection="1">
      <alignment horizontal="right" vertical="center" wrapText="1"/>
      <protection/>
    </xf>
    <xf numFmtId="4" fontId="27" fillId="52" borderId="38" xfId="73" applyNumberFormat="1" applyFont="1" applyFill="1" applyBorder="1" applyAlignment="1" applyProtection="1">
      <alignment horizontal="right" vertical="center" wrapText="1"/>
      <protection/>
    </xf>
    <xf numFmtId="4" fontId="24" fillId="52" borderId="38" xfId="73" applyNumberFormat="1" applyFont="1" applyFill="1" applyBorder="1" applyAlignment="1" applyProtection="1">
      <alignment horizontal="right" vertical="center" wrapText="1"/>
      <protection/>
    </xf>
    <xf numFmtId="4" fontId="24" fillId="63" borderId="38" xfId="73" applyNumberFormat="1" applyFont="1" applyFill="1" applyBorder="1" applyAlignment="1" applyProtection="1">
      <alignment horizontal="right" vertical="center" wrapText="1"/>
      <protection/>
    </xf>
    <xf numFmtId="180" fontId="24" fillId="67" borderId="38" xfId="73" applyNumberFormat="1" applyFont="1" applyFill="1" applyBorder="1" applyAlignment="1" applyProtection="1">
      <alignment horizontal="right" vertical="center" wrapText="1"/>
      <protection/>
    </xf>
    <xf numFmtId="180" fontId="24" fillId="46" borderId="38" xfId="73" applyNumberFormat="1" applyFont="1" applyFill="1" applyBorder="1" applyAlignment="1" applyProtection="1">
      <alignment horizontal="right" vertical="center" wrapText="1"/>
      <protection/>
    </xf>
    <xf numFmtId="180" fontId="24" fillId="67" borderId="38" xfId="124" applyNumberFormat="1" applyFont="1" applyFill="1" applyBorder="1" applyAlignment="1">
      <alignment horizontal="right" vertical="top" wrapText="1"/>
      <protection/>
    </xf>
    <xf numFmtId="3" fontId="24" fillId="46" borderId="38" xfId="73" applyNumberFormat="1" applyFont="1" applyFill="1" applyBorder="1" applyAlignment="1" applyProtection="1">
      <alignment horizontal="right" vertical="center" wrapText="1"/>
      <protection/>
    </xf>
    <xf numFmtId="3" fontId="24" fillId="67" borderId="38" xfId="73" applyNumberFormat="1" applyFont="1" applyFill="1" applyBorder="1" applyAlignment="1" applyProtection="1">
      <alignment horizontal="right" vertical="center" wrapText="1"/>
      <protection/>
    </xf>
    <xf numFmtId="180" fontId="24" fillId="72" borderId="38" xfId="73" applyNumberFormat="1" applyFont="1" applyFill="1" applyBorder="1" applyAlignment="1" applyProtection="1">
      <alignment horizontal="right" vertical="center" wrapText="1"/>
      <protection/>
    </xf>
    <xf numFmtId="3" fontId="24" fillId="71" borderId="38" xfId="73" applyNumberFormat="1" applyFont="1" applyFill="1" applyBorder="1" applyAlignment="1" applyProtection="1">
      <alignment horizontal="right" vertical="center" wrapText="1"/>
      <protection/>
    </xf>
    <xf numFmtId="4" fontId="24" fillId="73" borderId="38" xfId="73" applyNumberFormat="1" applyFont="1" applyFill="1" applyBorder="1" applyAlignment="1" applyProtection="1">
      <alignment horizontal="right" vertical="center" wrapText="1"/>
      <protection/>
    </xf>
    <xf numFmtId="49" fontId="40" fillId="69" borderId="29" xfId="124" applyNumberFormat="1" applyFont="1" applyFill="1" applyBorder="1" applyAlignment="1">
      <alignment horizontal="center" vertical="center" wrapText="1"/>
      <protection/>
    </xf>
    <xf numFmtId="0" fontId="40" fillId="70" borderId="30" xfId="124" applyFont="1" applyFill="1" applyBorder="1" applyAlignment="1">
      <alignment horizontal="center" vertical="center" wrapText="1"/>
      <protection/>
    </xf>
    <xf numFmtId="0" fontId="26" fillId="69" borderId="30" xfId="124" applyFont="1" applyFill="1" applyBorder="1" applyAlignment="1">
      <alignment vertical="center" wrapText="1"/>
      <protection/>
    </xf>
    <xf numFmtId="0" fontId="36" fillId="69" borderId="0" xfId="124" applyFont="1" applyFill="1" applyAlignment="1">
      <alignment wrapText="1"/>
      <protection/>
    </xf>
    <xf numFmtId="0" fontId="19" fillId="0" borderId="0" xfId="124" applyFont="1">
      <alignment/>
      <protection/>
    </xf>
    <xf numFmtId="4" fontId="45" fillId="0" borderId="0" xfId="0" applyNumberFormat="1" applyFont="1" applyAlignment="1">
      <alignment horizontal="right" vertical="center"/>
    </xf>
    <xf numFmtId="180" fontId="24" fillId="72" borderId="39" xfId="73" applyNumberFormat="1" applyFont="1" applyFill="1" applyBorder="1" applyAlignment="1" applyProtection="1">
      <alignment horizontal="right" vertical="center" wrapText="1"/>
      <protection/>
    </xf>
    <xf numFmtId="180" fontId="24" fillId="62" borderId="40" xfId="73" applyNumberFormat="1" applyFont="1" applyFill="1" applyBorder="1" applyAlignment="1" applyProtection="1">
      <alignment horizontal="right" vertical="center" wrapText="1"/>
      <protection/>
    </xf>
    <xf numFmtId="0" fontId="24" fillId="11" borderId="41" xfId="0" applyFont="1" applyFill="1" applyBorder="1" applyAlignment="1">
      <alignment horizontal="center" vertical="center" wrapText="1"/>
    </xf>
    <xf numFmtId="180" fontId="24" fillId="62" borderId="42" xfId="73" applyNumberFormat="1" applyFont="1" applyFill="1" applyBorder="1" applyAlignment="1" applyProtection="1">
      <alignment horizontal="right" vertical="center" wrapText="1"/>
      <protection/>
    </xf>
    <xf numFmtId="4" fontId="27" fillId="57" borderId="43" xfId="73" applyNumberFormat="1" applyFont="1" applyFill="1" applyBorder="1" applyAlignment="1" applyProtection="1">
      <alignment horizontal="right" vertical="center" wrapText="1"/>
      <protection/>
    </xf>
    <xf numFmtId="4" fontId="45" fillId="0" borderId="44" xfId="0" applyNumberFormat="1" applyFont="1" applyBorder="1" applyAlignment="1">
      <alignment horizontal="right" vertical="center"/>
    </xf>
    <xf numFmtId="4" fontId="24" fillId="52" borderId="43" xfId="73" applyNumberFormat="1" applyFont="1" applyFill="1" applyBorder="1" applyAlignment="1" applyProtection="1">
      <alignment horizontal="right" vertical="center" wrapText="1"/>
      <protection/>
    </xf>
    <xf numFmtId="4" fontId="24" fillId="63" borderId="43" xfId="73" applyNumberFormat="1" applyFont="1" applyFill="1" applyBorder="1" applyAlignment="1" applyProtection="1">
      <alignment horizontal="right" vertical="center" wrapText="1"/>
      <protection/>
    </xf>
    <xf numFmtId="4" fontId="24" fillId="73" borderId="43" xfId="73" applyNumberFormat="1" applyFont="1" applyFill="1" applyBorder="1" applyAlignment="1" applyProtection="1">
      <alignment horizontal="right" vertical="center" wrapText="1"/>
      <protection/>
    </xf>
    <xf numFmtId="180" fontId="24" fillId="67" borderId="43" xfId="73" applyNumberFormat="1" applyFont="1" applyFill="1" applyBorder="1" applyAlignment="1" applyProtection="1">
      <alignment horizontal="right" vertical="center" wrapText="1"/>
      <protection/>
    </xf>
    <xf numFmtId="180" fontId="24" fillId="46" borderId="43" xfId="73" applyNumberFormat="1" applyFont="1" applyFill="1" applyBorder="1" applyAlignment="1" applyProtection="1">
      <alignment horizontal="right" vertical="center" wrapText="1"/>
      <protection/>
    </xf>
    <xf numFmtId="180" fontId="24" fillId="67" borderId="43" xfId="124" applyNumberFormat="1" applyFont="1" applyFill="1" applyBorder="1" applyAlignment="1">
      <alignment horizontal="right" vertical="top" wrapText="1"/>
      <protection/>
    </xf>
    <xf numFmtId="3" fontId="24" fillId="46" borderId="43" xfId="73" applyNumberFormat="1" applyFont="1" applyFill="1" applyBorder="1" applyAlignment="1" applyProtection="1">
      <alignment horizontal="right" vertical="center" wrapText="1"/>
      <protection/>
    </xf>
    <xf numFmtId="4" fontId="27" fillId="63" borderId="40" xfId="73" applyNumberFormat="1" applyFont="1" applyFill="1" applyBorder="1" applyAlignment="1" applyProtection="1">
      <alignment horizontal="right" vertical="center" wrapText="1"/>
      <protection/>
    </xf>
    <xf numFmtId="4" fontId="27" fillId="52" borderId="41" xfId="73" applyNumberFormat="1" applyFont="1" applyFill="1" applyBorder="1" applyAlignment="1" applyProtection="1">
      <alignment horizontal="right" vertical="center" wrapText="1"/>
      <protection/>
    </xf>
    <xf numFmtId="180" fontId="40" fillId="69" borderId="45" xfId="73" applyNumberFormat="1" applyFont="1" applyFill="1" applyBorder="1" applyAlignment="1" applyProtection="1">
      <alignment horizontal="right" vertical="center" wrapText="1"/>
      <protection/>
    </xf>
    <xf numFmtId="0" fontId="40" fillId="65" borderId="38" xfId="124" applyFont="1" applyFill="1" applyBorder="1" applyAlignment="1">
      <alignment horizontal="center" vertical="center" wrapText="1"/>
      <protection/>
    </xf>
    <xf numFmtId="49" fontId="40" fillId="0" borderId="46" xfId="124" applyNumberFormat="1" applyFont="1" applyFill="1" applyBorder="1" applyAlignment="1">
      <alignment vertical="center" wrapText="1"/>
      <protection/>
    </xf>
    <xf numFmtId="49" fontId="40" fillId="0" borderId="47" xfId="124" applyNumberFormat="1" applyFont="1" applyFill="1" applyBorder="1" applyAlignment="1">
      <alignment vertical="center" wrapText="1"/>
      <protection/>
    </xf>
    <xf numFmtId="49" fontId="40" fillId="0" borderId="48" xfId="124" applyNumberFormat="1" applyFont="1" applyFill="1" applyBorder="1" applyAlignment="1">
      <alignment vertical="center" wrapText="1"/>
      <protection/>
    </xf>
    <xf numFmtId="4" fontId="45" fillId="0" borderId="49" xfId="0" applyNumberFormat="1" applyFont="1" applyBorder="1" applyAlignment="1">
      <alignment horizontal="right" vertical="center"/>
    </xf>
    <xf numFmtId="4" fontId="45" fillId="0" borderId="50" xfId="0" applyNumberFormat="1" applyFont="1" applyBorder="1" applyAlignment="1">
      <alignment horizontal="right" vertical="center"/>
    </xf>
    <xf numFmtId="0" fontId="40" fillId="0" borderId="38" xfId="124" applyFont="1" applyBorder="1" applyAlignment="1">
      <alignment vertical="center" wrapText="1"/>
      <protection/>
    </xf>
    <xf numFmtId="4" fontId="24" fillId="52" borderId="40" xfId="73" applyNumberFormat="1" applyFont="1" applyFill="1" applyBorder="1" applyAlignment="1" applyProtection="1">
      <alignment horizontal="right" vertical="center" wrapText="1"/>
      <protection/>
    </xf>
    <xf numFmtId="4" fontId="24" fillId="52" borderId="42" xfId="73" applyNumberFormat="1" applyFont="1" applyFill="1" applyBorder="1" applyAlignment="1" applyProtection="1">
      <alignment horizontal="right" vertical="center" wrapText="1"/>
      <protection/>
    </xf>
    <xf numFmtId="4" fontId="45" fillId="0" borderId="51" xfId="0" applyNumberFormat="1" applyFont="1" applyBorder="1" applyAlignment="1">
      <alignment horizontal="right" vertical="center"/>
    </xf>
    <xf numFmtId="4" fontId="45" fillId="0" borderId="52" xfId="0" applyNumberFormat="1" applyFont="1" applyBorder="1" applyAlignment="1">
      <alignment horizontal="right" vertical="center"/>
    </xf>
    <xf numFmtId="4" fontId="45" fillId="0" borderId="53" xfId="0" applyNumberFormat="1" applyFont="1" applyBorder="1" applyAlignment="1">
      <alignment horizontal="right" vertical="center"/>
    </xf>
    <xf numFmtId="4" fontId="45" fillId="0" borderId="45" xfId="0" applyNumberFormat="1" applyFont="1" applyBorder="1" applyAlignment="1">
      <alignment horizontal="right" vertical="center"/>
    </xf>
    <xf numFmtId="4" fontId="45" fillId="0" borderId="39" xfId="0" applyNumberFormat="1" applyFont="1" applyBorder="1" applyAlignment="1">
      <alignment horizontal="right" vertical="center"/>
    </xf>
    <xf numFmtId="49" fontId="40" fillId="0" borderId="38" xfId="124" applyNumberFormat="1" applyFont="1" applyFill="1" applyBorder="1" applyAlignment="1">
      <alignment vertical="center" wrapText="1"/>
      <protection/>
    </xf>
    <xf numFmtId="49" fontId="40" fillId="69" borderId="38" xfId="124" applyNumberFormat="1" applyFont="1" applyFill="1" applyBorder="1" applyAlignment="1">
      <alignment vertical="center" wrapText="1"/>
      <protection/>
    </xf>
    <xf numFmtId="0" fontId="40" fillId="69" borderId="38" xfId="124" applyFont="1" applyFill="1" applyBorder="1" applyAlignment="1">
      <alignment vertical="center" wrapText="1"/>
      <protection/>
    </xf>
    <xf numFmtId="4" fontId="24" fillId="52" borderId="54" xfId="73" applyNumberFormat="1" applyFont="1" applyFill="1" applyBorder="1" applyAlignment="1" applyProtection="1">
      <alignment horizontal="right" vertical="center" wrapText="1"/>
      <protection/>
    </xf>
    <xf numFmtId="0" fontId="40" fillId="0" borderId="38" xfId="124" applyFont="1" applyFill="1" applyBorder="1" applyAlignment="1">
      <alignment vertical="center" wrapText="1"/>
      <protection/>
    </xf>
    <xf numFmtId="180" fontId="24" fillId="62" borderId="55" xfId="73" applyNumberFormat="1" applyFont="1" applyFill="1" applyBorder="1" applyAlignment="1" applyProtection="1">
      <alignment horizontal="right" vertical="center" wrapText="1"/>
      <protection/>
    </xf>
    <xf numFmtId="180" fontId="36" fillId="0" borderId="0" xfId="0" applyNumberFormat="1" applyFont="1" applyAlignment="1">
      <alignment/>
    </xf>
    <xf numFmtId="0" fontId="48" fillId="0" borderId="0" xfId="0" applyFont="1" applyAlignment="1">
      <alignment/>
    </xf>
    <xf numFmtId="180" fontId="48" fillId="0" borderId="0" xfId="0" applyNumberFormat="1" applyFont="1" applyAlignment="1">
      <alignment/>
    </xf>
    <xf numFmtId="0" fontId="36" fillId="74" borderId="0" xfId="124" applyFont="1" applyFill="1">
      <alignment/>
      <protection/>
    </xf>
    <xf numFmtId="4" fontId="45" fillId="69" borderId="0" xfId="0" applyNumberFormat="1" applyFont="1" applyFill="1" applyAlignment="1">
      <alignment horizontal="right" vertical="center"/>
    </xf>
    <xf numFmtId="0" fontId="36" fillId="69" borderId="0" xfId="0" applyFont="1" applyFill="1" applyAlignment="1">
      <alignment/>
    </xf>
    <xf numFmtId="0" fontId="25" fillId="69" borderId="0" xfId="0" applyFont="1" applyFill="1" applyAlignment="1">
      <alignment/>
    </xf>
    <xf numFmtId="0" fontId="25" fillId="69" borderId="0" xfId="0" applyFont="1" applyFill="1" applyAlignment="1">
      <alignment/>
    </xf>
    <xf numFmtId="0" fontId="36" fillId="69" borderId="0" xfId="0" applyFont="1" applyFill="1" applyAlignment="1">
      <alignment/>
    </xf>
    <xf numFmtId="3" fontId="19" fillId="0" borderId="0" xfId="124" applyNumberFormat="1" applyFont="1">
      <alignment/>
      <protection/>
    </xf>
    <xf numFmtId="3" fontId="101" fillId="75" borderId="46" xfId="71" applyNumberFormat="1" applyFont="1" applyFill="1" applyBorder="1" applyAlignment="1">
      <alignment horizontal="center" wrapText="1"/>
    </xf>
    <xf numFmtId="0" fontId="32" fillId="0" borderId="0" xfId="0" applyFont="1" applyAlignment="1">
      <alignment horizontal="center"/>
    </xf>
    <xf numFmtId="4" fontId="45" fillId="0" borderId="0" xfId="0" applyNumberFormat="1" applyFont="1" applyAlignment="1">
      <alignment horizontal="right" vertical="center"/>
    </xf>
    <xf numFmtId="0" fontId="24" fillId="11" borderId="56" xfId="107" applyFont="1" applyFill="1" applyBorder="1" applyAlignment="1">
      <alignment vertical="center" wrapText="1"/>
      <protection/>
    </xf>
    <xf numFmtId="0" fontId="24" fillId="11" borderId="57" xfId="107" applyFont="1" applyFill="1" applyBorder="1" applyAlignment="1">
      <alignment vertical="center" wrapText="1"/>
      <protection/>
    </xf>
    <xf numFmtId="0" fontId="24" fillId="11" borderId="58" xfId="107" applyFont="1" applyFill="1" applyBorder="1" applyAlignment="1">
      <alignment vertical="center" wrapText="1"/>
      <protection/>
    </xf>
    <xf numFmtId="4" fontId="45" fillId="0" borderId="0" xfId="0" applyNumberFormat="1" applyFont="1" applyAlignment="1">
      <alignment horizontal="right" vertical="center"/>
    </xf>
    <xf numFmtId="49" fontId="40" fillId="69" borderId="30" xfId="124" applyNumberFormat="1" applyFont="1" applyFill="1" applyBorder="1" applyAlignment="1">
      <alignment vertical="center" wrapText="1"/>
      <protection/>
    </xf>
    <xf numFmtId="4" fontId="45" fillId="69" borderId="44" xfId="0" applyNumberFormat="1" applyFont="1" applyFill="1" applyBorder="1" applyAlignment="1">
      <alignment horizontal="right" vertical="center"/>
    </xf>
    <xf numFmtId="4" fontId="27" fillId="69" borderId="43" xfId="73" applyNumberFormat="1" applyFont="1" applyFill="1" applyBorder="1" applyAlignment="1" applyProtection="1">
      <alignment horizontal="right" vertical="center" wrapText="1"/>
      <protection/>
    </xf>
    <xf numFmtId="4" fontId="45" fillId="0" borderId="0" xfId="0" applyNumberFormat="1" applyFont="1" applyAlignment="1">
      <alignment horizontal="right" vertical="center"/>
    </xf>
    <xf numFmtId="49" fontId="24" fillId="69" borderId="59" xfId="124" applyNumberFormat="1" applyFont="1" applyFill="1" applyBorder="1" applyAlignment="1">
      <alignment horizontal="center" vertical="center" wrapText="1"/>
      <protection/>
    </xf>
    <xf numFmtId="217" fontId="36" fillId="0" borderId="0" xfId="124" applyNumberFormat="1" applyFont="1">
      <alignment/>
      <protection/>
    </xf>
    <xf numFmtId="4" fontId="45" fillId="69" borderId="39" xfId="0" applyNumberFormat="1" applyFont="1" applyFill="1" applyBorder="1" applyAlignment="1">
      <alignment horizontal="right" vertical="center"/>
    </xf>
    <xf numFmtId="4" fontId="19" fillId="0" borderId="0" xfId="124" applyNumberFormat="1" applyFont="1">
      <alignment/>
      <protection/>
    </xf>
    <xf numFmtId="0" fontId="28" fillId="11" borderId="0" xfId="0" applyFont="1" applyFill="1" applyBorder="1" applyAlignment="1">
      <alignment horizontal="center" vertical="center" wrapText="1" shrinkToFit="1"/>
    </xf>
    <xf numFmtId="180" fontId="26" fillId="55" borderId="0" xfId="0" applyNumberFormat="1" applyFont="1" applyFill="1" applyBorder="1" applyAlignment="1">
      <alignment horizontal="right" vertical="center" wrapText="1"/>
    </xf>
    <xf numFmtId="180" fontId="28" fillId="46" borderId="0" xfId="73" applyNumberFormat="1" applyFont="1" applyFill="1" applyBorder="1" applyAlignment="1" applyProtection="1">
      <alignment horizontal="right" vertical="center" wrapText="1"/>
      <protection/>
    </xf>
    <xf numFmtId="180" fontId="26" fillId="0" borderId="0" xfId="73" applyNumberFormat="1" applyFont="1" applyFill="1" applyBorder="1" applyAlignment="1" applyProtection="1">
      <alignment horizontal="right" vertical="center" wrapText="1"/>
      <protection/>
    </xf>
    <xf numFmtId="180" fontId="28" fillId="56" borderId="0" xfId="73" applyNumberFormat="1" applyFont="1" applyFill="1" applyBorder="1" applyAlignment="1" applyProtection="1">
      <alignment horizontal="right" vertical="center" wrapText="1"/>
      <protection/>
    </xf>
    <xf numFmtId="180" fontId="28" fillId="46" borderId="0" xfId="71" applyNumberFormat="1" applyFont="1" applyFill="1" applyBorder="1" applyAlignment="1">
      <alignment horizontal="right" vertical="center" wrapText="1"/>
    </xf>
    <xf numFmtId="180" fontId="28" fillId="46" borderId="0" xfId="0" applyNumberFormat="1" applyFont="1" applyFill="1" applyBorder="1" applyAlignment="1">
      <alignment horizontal="right" vertical="center" wrapText="1"/>
    </xf>
    <xf numFmtId="180" fontId="28" fillId="7" borderId="0" xfId="0" applyNumberFormat="1" applyFont="1" applyFill="1" applyBorder="1" applyAlignment="1">
      <alignment horizontal="right" vertical="center" wrapText="1"/>
    </xf>
    <xf numFmtId="4" fontId="102" fillId="69" borderId="0" xfId="0" applyNumberFormat="1" applyFont="1" applyFill="1" applyAlignment="1">
      <alignment horizontal="right" vertical="center"/>
    </xf>
    <xf numFmtId="0" fontId="25" fillId="0" borderId="60" xfId="124" applyFont="1" applyBorder="1">
      <alignment/>
      <protection/>
    </xf>
    <xf numFmtId="0" fontId="25" fillId="0" borderId="61" xfId="124" applyFont="1" applyBorder="1">
      <alignment/>
      <protection/>
    </xf>
    <xf numFmtId="3" fontId="19" fillId="0" borderId="62" xfId="124" applyNumberFormat="1" applyFont="1" applyBorder="1">
      <alignment/>
      <protection/>
    </xf>
    <xf numFmtId="0" fontId="25" fillId="0" borderId="63" xfId="124" applyFont="1" applyBorder="1">
      <alignment/>
      <protection/>
    </xf>
    <xf numFmtId="0" fontId="25" fillId="0" borderId="0" xfId="124" applyFont="1" applyBorder="1">
      <alignment/>
      <protection/>
    </xf>
    <xf numFmtId="0" fontId="19" fillId="0" borderId="64" xfId="124" applyFont="1" applyBorder="1">
      <alignment/>
      <protection/>
    </xf>
    <xf numFmtId="0" fontId="25" fillId="76" borderId="63" xfId="124" applyFont="1" applyFill="1" applyBorder="1">
      <alignment/>
      <protection/>
    </xf>
    <xf numFmtId="0" fontId="25" fillId="76" borderId="0" xfId="124" applyFont="1" applyFill="1" applyBorder="1">
      <alignment/>
      <protection/>
    </xf>
    <xf numFmtId="3" fontId="19" fillId="76" borderId="64" xfId="124" applyNumberFormat="1" applyFont="1" applyFill="1" applyBorder="1">
      <alignment/>
      <protection/>
    </xf>
    <xf numFmtId="0" fontId="36" fillId="0" borderId="63" xfId="124" applyFont="1" applyBorder="1">
      <alignment/>
      <protection/>
    </xf>
    <xf numFmtId="0" fontId="36" fillId="0" borderId="0" xfId="124" applyFont="1" applyBorder="1">
      <alignment/>
      <protection/>
    </xf>
    <xf numFmtId="0" fontId="36" fillId="76" borderId="65" xfId="124" applyFont="1" applyFill="1" applyBorder="1">
      <alignment/>
      <protection/>
    </xf>
    <xf numFmtId="0" fontId="36" fillId="76" borderId="66" xfId="124" applyFont="1" applyFill="1" applyBorder="1">
      <alignment/>
      <protection/>
    </xf>
    <xf numFmtId="3" fontId="19" fillId="76" borderId="67" xfId="124" applyNumberFormat="1" applyFont="1" applyFill="1" applyBorder="1">
      <alignment/>
      <protection/>
    </xf>
    <xf numFmtId="0" fontId="36" fillId="0" borderId="60" xfId="124" applyFont="1" applyBorder="1">
      <alignment/>
      <protection/>
    </xf>
    <xf numFmtId="0" fontId="36" fillId="0" borderId="61" xfId="124" applyFont="1" applyBorder="1">
      <alignment/>
      <protection/>
    </xf>
    <xf numFmtId="0" fontId="19" fillId="0" borderId="62" xfId="124" applyFont="1" applyBorder="1">
      <alignment/>
      <protection/>
    </xf>
    <xf numFmtId="0" fontId="36" fillId="76" borderId="63" xfId="124" applyFont="1" applyFill="1" applyBorder="1">
      <alignment/>
      <protection/>
    </xf>
    <xf numFmtId="0" fontId="36" fillId="76" borderId="0" xfId="124" applyFont="1" applyFill="1" applyBorder="1" applyAlignment="1">
      <alignment horizontal="right"/>
      <protection/>
    </xf>
    <xf numFmtId="200" fontId="19" fillId="76" borderId="64" xfId="74" applyNumberFormat="1" applyFont="1" applyFill="1" applyBorder="1" applyAlignment="1">
      <alignment/>
    </xf>
    <xf numFmtId="0" fontId="25" fillId="76" borderId="65" xfId="124" applyFont="1" applyFill="1" applyBorder="1">
      <alignment/>
      <protection/>
    </xf>
    <xf numFmtId="0" fontId="25" fillId="76" borderId="66" xfId="124" applyFont="1" applyFill="1" applyBorder="1" applyAlignment="1">
      <alignment horizontal="right"/>
      <protection/>
    </xf>
    <xf numFmtId="200" fontId="20" fillId="76" borderId="67" xfId="124" applyNumberFormat="1" applyFont="1" applyFill="1" applyBorder="1">
      <alignment/>
      <protection/>
    </xf>
    <xf numFmtId="0" fontId="36" fillId="0" borderId="20" xfId="124" applyFont="1" applyFill="1" applyBorder="1" applyAlignment="1">
      <alignment wrapText="1"/>
      <protection/>
    </xf>
    <xf numFmtId="49" fontId="24" fillId="0" borderId="20" xfId="124" applyNumberFormat="1" applyFont="1" applyFill="1" applyBorder="1" applyAlignment="1">
      <alignment horizontal="center" vertical="center" wrapText="1"/>
      <protection/>
    </xf>
    <xf numFmtId="49" fontId="24" fillId="0" borderId="20" xfId="124" applyNumberFormat="1" applyFont="1" applyFill="1" applyBorder="1" applyAlignment="1">
      <alignment horizontal="center" wrapText="1"/>
      <protection/>
    </xf>
    <xf numFmtId="49" fontId="24" fillId="0" borderId="20" xfId="124" applyNumberFormat="1" applyFont="1" applyFill="1" applyBorder="1" applyAlignment="1">
      <alignment horizontal="left" vertical="center" wrapText="1"/>
      <protection/>
    </xf>
    <xf numFmtId="4" fontId="27" fillId="0" borderId="20" xfId="73" applyNumberFormat="1" applyFont="1" applyFill="1" applyBorder="1" applyAlignment="1" applyProtection="1">
      <alignment horizontal="right" vertical="center" wrapText="1"/>
      <protection/>
    </xf>
    <xf numFmtId="2" fontId="36" fillId="0" borderId="20" xfId="124" applyNumberFormat="1" applyFont="1" applyFill="1" applyBorder="1">
      <alignment/>
      <protection/>
    </xf>
    <xf numFmtId="0" fontId="24" fillId="0" borderId="20" xfId="124" applyFont="1" applyFill="1" applyBorder="1" applyAlignment="1">
      <alignment horizontal="center" vertical="center" wrapText="1"/>
      <protection/>
    </xf>
    <xf numFmtId="0" fontId="24" fillId="0" borderId="20" xfId="124" applyFont="1" applyFill="1" applyBorder="1" applyAlignment="1">
      <alignment horizontal="left" vertical="center" wrapText="1"/>
      <protection/>
    </xf>
    <xf numFmtId="0" fontId="40" fillId="0" borderId="20" xfId="124" applyFont="1" applyFill="1" applyBorder="1" applyAlignment="1">
      <alignment horizontal="center" vertical="center" wrapText="1"/>
      <protection/>
    </xf>
    <xf numFmtId="0" fontId="24" fillId="0" borderId="20" xfId="124" applyFont="1" applyFill="1" applyBorder="1" applyAlignment="1">
      <alignment vertical="center" wrapText="1"/>
      <protection/>
    </xf>
    <xf numFmtId="0" fontId="40" fillId="0" borderId="20" xfId="124" applyFont="1" applyFill="1" applyBorder="1" applyAlignment="1">
      <alignment vertical="center" wrapText="1"/>
      <protection/>
    </xf>
    <xf numFmtId="4" fontId="45" fillId="0" borderId="20" xfId="0" applyNumberFormat="1" applyFont="1" applyFill="1" applyBorder="1" applyAlignment="1">
      <alignment horizontal="right" vertical="center"/>
    </xf>
    <xf numFmtId="4" fontId="24" fillId="0" borderId="20" xfId="73" applyNumberFormat="1" applyFont="1" applyFill="1" applyBorder="1" applyAlignment="1" applyProtection="1">
      <alignment horizontal="right" vertical="center" wrapText="1"/>
      <protection/>
    </xf>
    <xf numFmtId="49" fontId="40" fillId="0" borderId="20" xfId="124" applyNumberFormat="1" applyFont="1" applyFill="1" applyBorder="1" applyAlignment="1">
      <alignment horizontal="center" vertical="center" wrapText="1"/>
      <protection/>
    </xf>
    <xf numFmtId="49" fontId="24" fillId="0" borderId="20" xfId="124" applyNumberFormat="1" applyFont="1" applyFill="1" applyBorder="1" applyAlignment="1">
      <alignment vertical="center" wrapText="1"/>
      <protection/>
    </xf>
    <xf numFmtId="0" fontId="40" fillId="0" borderId="20" xfId="124" applyFont="1" applyFill="1" applyBorder="1" applyAlignment="1">
      <alignment horizontal="center"/>
      <protection/>
    </xf>
    <xf numFmtId="0" fontId="40" fillId="0" borderId="20" xfId="124" applyFont="1" applyFill="1" applyBorder="1">
      <alignment/>
      <protection/>
    </xf>
    <xf numFmtId="180" fontId="24" fillId="0" borderId="20" xfId="73" applyNumberFormat="1" applyFont="1" applyFill="1" applyBorder="1" applyAlignment="1" applyProtection="1">
      <alignment horizontal="right" vertical="center" wrapText="1"/>
      <protection/>
    </xf>
    <xf numFmtId="0" fontId="24" fillId="0" borderId="20" xfId="124" applyFont="1" applyFill="1" applyBorder="1">
      <alignment/>
      <protection/>
    </xf>
    <xf numFmtId="3" fontId="24" fillId="0" borderId="20" xfId="73" applyNumberFormat="1" applyFont="1" applyFill="1" applyBorder="1" applyAlignment="1" applyProtection="1">
      <alignment horizontal="right" vertical="center" wrapText="1"/>
      <protection/>
    </xf>
    <xf numFmtId="3" fontId="24" fillId="0" borderId="20" xfId="124" applyNumberFormat="1" applyFont="1" applyFill="1" applyBorder="1" applyAlignment="1">
      <alignment horizontal="right" vertical="center" wrapText="1"/>
      <protection/>
    </xf>
    <xf numFmtId="3" fontId="101" fillId="75" borderId="54" xfId="71" applyNumberFormat="1" applyFont="1" applyFill="1" applyBorder="1" applyAlignment="1">
      <alignment wrapText="1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right" vertical="center" wrapText="1"/>
    </xf>
    <xf numFmtId="49" fontId="28" fillId="0" borderId="26" xfId="0" applyNumberFormat="1" applyFont="1" applyFill="1" applyBorder="1" applyAlignment="1">
      <alignment horizontal="center" vertical="center" wrapText="1"/>
    </xf>
    <xf numFmtId="3" fontId="101" fillId="0" borderId="46" xfId="71" applyNumberFormat="1" applyFont="1" applyFill="1" applyBorder="1" applyAlignment="1">
      <alignment horizontal="center" wrapText="1"/>
    </xf>
    <xf numFmtId="49" fontId="26" fillId="0" borderId="26" xfId="0" applyNumberFormat="1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49" fontId="28" fillId="0" borderId="26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180" fontId="26" fillId="0" borderId="26" xfId="0" applyNumberFormat="1" applyFont="1" applyFill="1" applyBorder="1" applyAlignment="1">
      <alignment horizontal="right" vertical="center" wrapText="1"/>
    </xf>
    <xf numFmtId="49" fontId="28" fillId="0" borderId="26" xfId="0" applyNumberFormat="1" applyFont="1" applyFill="1" applyBorder="1" applyAlignment="1">
      <alignment horizontal="center"/>
    </xf>
    <xf numFmtId="0" fontId="28" fillId="0" borderId="26" xfId="0" applyFont="1" applyFill="1" applyBorder="1" applyAlignment="1">
      <alignment horizontal="left"/>
    </xf>
    <xf numFmtId="180" fontId="28" fillId="0" borderId="26" xfId="73" applyNumberFormat="1" applyFont="1" applyFill="1" applyBorder="1" applyAlignment="1" applyProtection="1">
      <alignment horizontal="right" vertical="center" wrapText="1"/>
      <protection/>
    </xf>
    <xf numFmtId="0" fontId="28" fillId="0" borderId="26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justify"/>
    </xf>
    <xf numFmtId="180" fontId="28" fillId="0" borderId="26" xfId="0" applyNumberFormat="1" applyFont="1" applyFill="1" applyBorder="1" applyAlignment="1">
      <alignment horizontal="right" vertical="center" wrapText="1"/>
    </xf>
    <xf numFmtId="0" fontId="28" fillId="0" borderId="26" xfId="0" applyFont="1" applyFill="1" applyBorder="1" applyAlignment="1">
      <alignment/>
    </xf>
    <xf numFmtId="49" fontId="28" fillId="0" borderId="26" xfId="0" applyNumberFormat="1" applyFont="1" applyFill="1" applyBorder="1" applyAlignment="1">
      <alignment vertical="center" wrapText="1"/>
    </xf>
    <xf numFmtId="0" fontId="26" fillId="0" borderId="0" xfId="0" applyFont="1" applyFill="1" applyAlignment="1">
      <alignment/>
    </xf>
    <xf numFmtId="0" fontId="37" fillId="0" borderId="30" xfId="0" applyFont="1" applyBorder="1" applyAlignment="1">
      <alignment/>
    </xf>
    <xf numFmtId="0" fontId="2" fillId="0" borderId="40" xfId="0" applyFont="1" applyBorder="1" applyAlignment="1">
      <alignment vertical="top" wrapText="1"/>
    </xf>
    <xf numFmtId="0" fontId="2" fillId="77" borderId="54" xfId="0" applyFont="1" applyFill="1" applyBorder="1" applyAlignment="1">
      <alignment vertical="top" wrapText="1"/>
    </xf>
    <xf numFmtId="0" fontId="0" fillId="0" borderId="20" xfId="0" applyBorder="1" applyAlignment="1">
      <alignment/>
    </xf>
    <xf numFmtId="0" fontId="103" fillId="0" borderId="20" xfId="0" applyFont="1" applyBorder="1" applyAlignment="1">
      <alignment/>
    </xf>
    <xf numFmtId="0" fontId="103" fillId="0" borderId="20" xfId="0" applyFont="1" applyBorder="1" applyAlignment="1">
      <alignment horizontal="center"/>
    </xf>
    <xf numFmtId="0" fontId="104" fillId="0" borderId="20" xfId="0" applyFont="1" applyBorder="1" applyAlignment="1">
      <alignment/>
    </xf>
    <xf numFmtId="3" fontId="104" fillId="0" borderId="20" xfId="0" applyNumberFormat="1" applyFont="1" applyBorder="1" applyAlignment="1">
      <alignment/>
    </xf>
    <xf numFmtId="0" fontId="104" fillId="0" borderId="20" xfId="0" applyFont="1" applyBorder="1" applyAlignment="1">
      <alignment horizontal="center" wrapText="1"/>
    </xf>
    <xf numFmtId="0" fontId="40" fillId="0" borderId="68" xfId="124" applyFont="1" applyFill="1" applyBorder="1" applyAlignment="1">
      <alignment horizontal="center"/>
      <protection/>
    </xf>
    <xf numFmtId="0" fontId="24" fillId="0" borderId="32" xfId="124" applyFont="1" applyFill="1" applyBorder="1" applyAlignment="1">
      <alignment horizontal="center" vertical="center" wrapText="1"/>
      <protection/>
    </xf>
    <xf numFmtId="0" fontId="24" fillId="0" borderId="32" xfId="124" applyFont="1" applyFill="1" applyBorder="1" applyAlignment="1">
      <alignment vertical="center" wrapText="1"/>
      <protection/>
    </xf>
    <xf numFmtId="3" fontId="24" fillId="0" borderId="32" xfId="124" applyNumberFormat="1" applyFont="1" applyFill="1" applyBorder="1" applyAlignment="1">
      <alignment horizontal="right" vertical="center" wrapText="1"/>
      <protection/>
    </xf>
    <xf numFmtId="4" fontId="27" fillId="0" borderId="69" xfId="73" applyNumberFormat="1" applyFont="1" applyFill="1" applyBorder="1" applyAlignment="1" applyProtection="1">
      <alignment horizontal="right" vertical="center" wrapText="1"/>
      <protection/>
    </xf>
    <xf numFmtId="4" fontId="51" fillId="69" borderId="50" xfId="0" applyNumberFormat="1" applyFont="1" applyFill="1" applyBorder="1" applyAlignment="1">
      <alignment/>
    </xf>
    <xf numFmtId="3" fontId="26" fillId="69" borderId="50" xfId="71" applyNumberFormat="1" applyFont="1" applyFill="1" applyBorder="1" applyAlignment="1">
      <alignment horizontal="right" wrapText="1"/>
    </xf>
    <xf numFmtId="3" fontId="26" fillId="69" borderId="50" xfId="71" applyNumberFormat="1" applyFont="1" applyFill="1" applyBorder="1" applyAlignment="1">
      <alignment horizontal="right"/>
    </xf>
    <xf numFmtId="3" fontId="28" fillId="69" borderId="50" xfId="71" applyNumberFormat="1" applyFont="1" applyFill="1" applyBorder="1" applyAlignment="1">
      <alignment horizontal="right"/>
    </xf>
    <xf numFmtId="3" fontId="26" fillId="69" borderId="54" xfId="71" applyNumberFormat="1" applyFont="1" applyFill="1" applyBorder="1" applyAlignment="1">
      <alignment horizontal="right"/>
    </xf>
    <xf numFmtId="3" fontId="26" fillId="69" borderId="38" xfId="71" applyNumberFormat="1" applyFont="1" applyFill="1" applyBorder="1" applyAlignment="1">
      <alignment horizontal="right"/>
    </xf>
    <xf numFmtId="4" fontId="51" fillId="69" borderId="0" xfId="0" applyNumberFormat="1" applyFont="1" applyFill="1" applyAlignment="1">
      <alignment/>
    </xf>
    <xf numFmtId="3" fontId="26" fillId="69" borderId="38" xfId="71" applyNumberFormat="1" applyFont="1" applyFill="1" applyBorder="1" applyAlignment="1">
      <alignment horizontal="right" wrapText="1"/>
    </xf>
    <xf numFmtId="4" fontId="45" fillId="69" borderId="0" xfId="0" applyNumberFormat="1" applyFont="1" applyFill="1" applyAlignment="1">
      <alignment horizontal="right" vertical="center"/>
    </xf>
    <xf numFmtId="4" fontId="38" fillId="57" borderId="38" xfId="73" applyNumberFormat="1" applyFont="1" applyFill="1" applyBorder="1" applyAlignment="1" applyProtection="1">
      <alignment horizontal="right" vertical="center" wrapText="1"/>
      <protection/>
    </xf>
    <xf numFmtId="4" fontId="38" fillId="57" borderId="43" xfId="73" applyNumberFormat="1" applyFont="1" applyFill="1" applyBorder="1" applyAlignment="1" applyProtection="1">
      <alignment horizontal="right" vertical="center" wrapText="1"/>
      <protection/>
    </xf>
    <xf numFmtId="3" fontId="101" fillId="0" borderId="0" xfId="71" applyNumberFormat="1" applyFont="1" applyFill="1" applyBorder="1" applyAlignment="1">
      <alignment/>
    </xf>
    <xf numFmtId="0" fontId="96" fillId="78" borderId="20" xfId="0" applyFont="1" applyFill="1" applyBorder="1" applyAlignment="1">
      <alignment wrapText="1"/>
    </xf>
    <xf numFmtId="0" fontId="96" fillId="78" borderId="20" xfId="0" applyFont="1" applyFill="1" applyBorder="1" applyAlignment="1">
      <alignment horizontal="center" wrapText="1"/>
    </xf>
    <xf numFmtId="0" fontId="90" fillId="0" borderId="20" xfId="0" applyFont="1" applyBorder="1" applyAlignment="1">
      <alignment/>
    </xf>
    <xf numFmtId="0" fontId="97" fillId="0" borderId="20" xfId="0" applyFont="1" applyBorder="1" applyAlignment="1">
      <alignment/>
    </xf>
    <xf numFmtId="3" fontId="97" fillId="0" borderId="20" xfId="0" applyNumberFormat="1" applyFont="1" applyBorder="1" applyAlignment="1">
      <alignment/>
    </xf>
    <xf numFmtId="0" fontId="97" fillId="0" borderId="20" xfId="0" applyFont="1" applyBorder="1" applyAlignment="1">
      <alignment wrapText="1"/>
    </xf>
    <xf numFmtId="0" fontId="97" fillId="0" borderId="20" xfId="0" applyFont="1" applyBorder="1" applyAlignment="1">
      <alignment horizontal="center"/>
    </xf>
    <xf numFmtId="200" fontId="97" fillId="0" borderId="20" xfId="0" applyNumberFormat="1" applyFont="1" applyBorder="1" applyAlignment="1">
      <alignment/>
    </xf>
    <xf numFmtId="0" fontId="96" fillId="0" borderId="20" xfId="0" applyFont="1" applyBorder="1" applyAlignment="1">
      <alignment/>
    </xf>
    <xf numFmtId="200" fontId="96" fillId="0" borderId="20" xfId="0" applyNumberFormat="1" applyFont="1" applyBorder="1" applyAlignment="1">
      <alignment/>
    </xf>
    <xf numFmtId="0" fontId="97" fillId="0" borderId="20" xfId="0" applyFont="1" applyBorder="1" applyAlignment="1">
      <alignment horizontal="center" wrapText="1"/>
    </xf>
    <xf numFmtId="3" fontId="96" fillId="0" borderId="20" xfId="0" applyNumberFormat="1" applyFont="1" applyBorder="1" applyAlignment="1">
      <alignment/>
    </xf>
    <xf numFmtId="0" fontId="99" fillId="0" borderId="20" xfId="0" applyFont="1" applyBorder="1" applyAlignment="1">
      <alignment wrapText="1"/>
    </xf>
    <xf numFmtId="0" fontId="100" fillId="0" borderId="20" xfId="0" applyFont="1" applyBorder="1" applyAlignment="1">
      <alignment wrapText="1"/>
    </xf>
    <xf numFmtId="2" fontId="19" fillId="0" borderId="64" xfId="124" applyNumberFormat="1" applyFont="1" applyBorder="1">
      <alignment/>
      <protection/>
    </xf>
    <xf numFmtId="2" fontId="105" fillId="0" borderId="20" xfId="71" applyNumberFormat="1" applyFont="1" applyBorder="1" applyAlignment="1">
      <alignment/>
    </xf>
    <xf numFmtId="0" fontId="89" fillId="0" borderId="0" xfId="0" applyFont="1" applyAlignment="1">
      <alignment/>
    </xf>
    <xf numFmtId="0" fontId="89" fillId="0" borderId="70" xfId="0" applyFont="1" applyBorder="1" applyAlignment="1">
      <alignment/>
    </xf>
    <xf numFmtId="0" fontId="89" fillId="0" borderId="70" xfId="0" applyFont="1" applyBorder="1" applyAlignment="1">
      <alignment vertical="top" wrapText="1"/>
    </xf>
    <xf numFmtId="0" fontId="89" fillId="0" borderId="0" xfId="0" applyFont="1" applyAlignment="1">
      <alignment horizontal="right"/>
    </xf>
    <xf numFmtId="0" fontId="98" fillId="0" borderId="0" xfId="0" applyFont="1" applyAlignment="1">
      <alignment horizontal="right" wrapText="1"/>
    </xf>
    <xf numFmtId="0" fontId="97" fillId="0" borderId="0" xfId="0" applyFont="1" applyAlignment="1">
      <alignment/>
    </xf>
    <xf numFmtId="0" fontId="89" fillId="0" borderId="0" xfId="0" applyFont="1" applyAlignment="1">
      <alignment vertical="top" wrapText="1"/>
    </xf>
    <xf numFmtId="0" fontId="89" fillId="0" borderId="70" xfId="0" applyFont="1" applyBorder="1" applyAlignment="1">
      <alignment horizontal="right" vertical="top" wrapText="1"/>
    </xf>
    <xf numFmtId="0" fontId="89" fillId="0" borderId="0" xfId="0" applyFont="1" applyAlignment="1">
      <alignment horizontal="center"/>
    </xf>
    <xf numFmtId="4" fontId="98" fillId="0" borderId="0" xfId="0" applyNumberFormat="1" applyFont="1" applyAlignment="1">
      <alignment horizontal="right" wrapText="1"/>
    </xf>
    <xf numFmtId="4" fontId="89" fillId="0" borderId="70" xfId="0" applyNumberFormat="1" applyFont="1" applyBorder="1" applyAlignment="1">
      <alignment horizontal="right" vertical="top" wrapText="1"/>
    </xf>
    <xf numFmtId="0" fontId="106" fillId="0" borderId="0" xfId="0" applyFont="1" applyAlignment="1">
      <alignment/>
    </xf>
    <xf numFmtId="0" fontId="106" fillId="0" borderId="0" xfId="0" applyFont="1" applyAlignment="1">
      <alignment horizontal="right" vertical="top" wrapText="1"/>
    </xf>
    <xf numFmtId="4" fontId="45" fillId="0" borderId="0" xfId="0" applyNumberFormat="1" applyFont="1" applyFill="1" applyAlignment="1">
      <alignment horizontal="right" vertical="center"/>
    </xf>
    <xf numFmtId="180" fontId="99" fillId="69" borderId="38" xfId="73" applyNumberFormat="1" applyFont="1" applyFill="1" applyBorder="1" applyAlignment="1" applyProtection="1">
      <alignment horizontal="right" vertical="center" wrapText="1"/>
      <protection/>
    </xf>
    <xf numFmtId="0" fontId="24" fillId="69" borderId="50" xfId="0" applyFont="1" applyFill="1" applyBorder="1" applyAlignment="1">
      <alignment/>
    </xf>
    <xf numFmtId="0" fontId="24" fillId="69" borderId="50" xfId="0" applyFont="1" applyFill="1" applyBorder="1" applyAlignment="1">
      <alignment horizontal="center"/>
    </xf>
    <xf numFmtId="0" fontId="26" fillId="69" borderId="50" xfId="0" applyFont="1" applyFill="1" applyBorder="1" applyAlignment="1">
      <alignment horizontal="center"/>
    </xf>
    <xf numFmtId="0" fontId="26" fillId="69" borderId="71" xfId="0" applyFont="1" applyFill="1" applyBorder="1" applyAlignment="1">
      <alignment horizontal="center"/>
    </xf>
    <xf numFmtId="0" fontId="26" fillId="69" borderId="38" xfId="0" applyFont="1" applyFill="1" applyBorder="1" applyAlignment="1">
      <alignment horizontal="center"/>
    </xf>
    <xf numFmtId="3" fontId="38" fillId="69" borderId="50" xfId="127" applyNumberFormat="1" applyFont="1" applyFill="1" applyBorder="1" applyAlignment="1">
      <alignment horizontal="left" wrapText="1"/>
      <protection/>
    </xf>
    <xf numFmtId="0" fontId="28" fillId="69" borderId="50" xfId="0" applyFont="1" applyFill="1" applyBorder="1" applyAlignment="1">
      <alignment horizontal="center"/>
    </xf>
    <xf numFmtId="0" fontId="28" fillId="69" borderId="50" xfId="0" applyFont="1" applyFill="1" applyBorder="1" applyAlignment="1">
      <alignment/>
    </xf>
    <xf numFmtId="0" fontId="49" fillId="69" borderId="50" xfId="0" applyFont="1" applyFill="1" applyBorder="1" applyAlignment="1">
      <alignment horizontal="center"/>
    </xf>
    <xf numFmtId="0" fontId="49" fillId="69" borderId="71" xfId="0" applyFont="1" applyFill="1" applyBorder="1" applyAlignment="1">
      <alignment horizontal="center"/>
    </xf>
    <xf numFmtId="0" fontId="49" fillId="69" borderId="38" xfId="0" applyFont="1" applyFill="1" applyBorder="1" applyAlignment="1">
      <alignment horizontal="center"/>
    </xf>
    <xf numFmtId="0" fontId="50" fillId="69" borderId="50" xfId="0" applyFont="1" applyFill="1" applyBorder="1" applyAlignment="1" applyProtection="1">
      <alignment/>
      <protection/>
    </xf>
    <xf numFmtId="0" fontId="26" fillId="69" borderId="50" xfId="0" applyFont="1" applyFill="1" applyBorder="1" applyAlignment="1">
      <alignment/>
    </xf>
    <xf numFmtId="0" fontId="40" fillId="69" borderId="71" xfId="0" applyFont="1" applyFill="1" applyBorder="1" applyAlignment="1">
      <alignment horizontal="center"/>
    </xf>
    <xf numFmtId="0" fontId="38" fillId="69" borderId="38" xfId="0" applyFont="1" applyFill="1" applyBorder="1" applyAlignment="1">
      <alignment horizontal="center" wrapText="1"/>
    </xf>
    <xf numFmtId="0" fontId="38" fillId="69" borderId="50" xfId="0" applyFont="1" applyFill="1" applyBorder="1" applyAlignment="1">
      <alignment horizontal="left" wrapText="1"/>
    </xf>
    <xf numFmtId="3" fontId="26" fillId="69" borderId="71" xfId="0" applyNumberFormat="1" applyFont="1" applyFill="1" applyBorder="1" applyAlignment="1">
      <alignment horizontal="center" wrapText="1"/>
    </xf>
    <xf numFmtId="0" fontId="26" fillId="69" borderId="38" xfId="0" applyFont="1" applyFill="1" applyBorder="1" applyAlignment="1">
      <alignment horizontal="center" wrapText="1"/>
    </xf>
    <xf numFmtId="3" fontId="38" fillId="69" borderId="50" xfId="107" applyNumberFormat="1" applyFont="1" applyFill="1" applyBorder="1" applyAlignment="1">
      <alignment horizontal="left" wrapText="1"/>
      <protection/>
    </xf>
    <xf numFmtId="0" fontId="38" fillId="69" borderId="50" xfId="0" applyFont="1" applyFill="1" applyBorder="1" applyAlignment="1">
      <alignment wrapText="1"/>
    </xf>
    <xf numFmtId="0" fontId="27" fillId="69" borderId="50" xfId="0" applyFont="1" applyFill="1" applyBorder="1" applyAlignment="1">
      <alignment wrapText="1"/>
    </xf>
    <xf numFmtId="0" fontId="27" fillId="69" borderId="50" xfId="0" applyFont="1" applyFill="1" applyBorder="1" applyAlignment="1">
      <alignment/>
    </xf>
    <xf numFmtId="0" fontId="27" fillId="69" borderId="72" xfId="0" applyFont="1" applyFill="1" applyBorder="1" applyAlignment="1">
      <alignment horizontal="center"/>
    </xf>
    <xf numFmtId="0" fontId="28" fillId="69" borderId="30" xfId="0" applyFont="1" applyFill="1" applyBorder="1" applyAlignment="1">
      <alignment horizontal="center"/>
    </xf>
    <xf numFmtId="0" fontId="28" fillId="69" borderId="38" xfId="0" applyFont="1" applyFill="1" applyBorder="1" applyAlignment="1">
      <alignment horizontal="center"/>
    </xf>
    <xf numFmtId="3" fontId="27" fillId="69" borderId="50" xfId="127" applyNumberFormat="1" applyFont="1" applyFill="1" applyBorder="1" applyAlignment="1">
      <alignment horizontal="left" wrapText="1"/>
      <protection/>
    </xf>
    <xf numFmtId="3" fontId="38" fillId="69" borderId="47" xfId="127" applyNumberFormat="1" applyFont="1" applyFill="1" applyBorder="1" applyAlignment="1">
      <alignment horizontal="left" wrapText="1"/>
      <protection/>
    </xf>
    <xf numFmtId="0" fontId="50" fillId="69" borderId="30" xfId="0" applyFont="1" applyFill="1" applyBorder="1" applyAlignment="1" applyProtection="1">
      <alignment/>
      <protection/>
    </xf>
    <xf numFmtId="0" fontId="38" fillId="69" borderId="71" xfId="0" applyFont="1" applyFill="1" applyBorder="1" applyAlignment="1">
      <alignment horizontal="center"/>
    </xf>
    <xf numFmtId="3" fontId="38" fillId="69" borderId="30" xfId="0" applyNumberFormat="1" applyFont="1" applyFill="1" applyBorder="1" applyAlignment="1">
      <alignment horizontal="left" wrapText="1"/>
    </xf>
    <xf numFmtId="3" fontId="38" fillId="69" borderId="30" xfId="107" applyNumberFormat="1" applyFont="1" applyFill="1" applyBorder="1" applyAlignment="1">
      <alignment horizontal="left" wrapText="1"/>
      <protection/>
    </xf>
    <xf numFmtId="0" fontId="38" fillId="69" borderId="30" xfId="0" applyFont="1" applyFill="1" applyBorder="1" applyAlignment="1">
      <alignment wrapText="1"/>
    </xf>
    <xf numFmtId="0" fontId="19" fillId="69" borderId="73" xfId="0" applyFont="1" applyFill="1" applyBorder="1" applyAlignment="1">
      <alignment horizontal="center"/>
    </xf>
    <xf numFmtId="0" fontId="19" fillId="69" borderId="74" xfId="0" applyFont="1" applyFill="1" applyBorder="1" applyAlignment="1">
      <alignment horizontal="center"/>
    </xf>
    <xf numFmtId="49" fontId="19" fillId="69" borderId="74" xfId="0" applyNumberFormat="1" applyFont="1" applyFill="1" applyBorder="1" applyAlignment="1">
      <alignment horizontal="left"/>
    </xf>
    <xf numFmtId="3" fontId="20" fillId="69" borderId="75" xfId="127" applyNumberFormat="1" applyFont="1" applyFill="1" applyBorder="1" applyAlignment="1">
      <alignment horizontal="center" textRotation="90" wrapText="1"/>
      <protection/>
    </xf>
    <xf numFmtId="0" fontId="24" fillId="69" borderId="75" xfId="127" applyFont="1" applyFill="1" applyBorder="1" applyAlignment="1">
      <alignment horizontal="center" textRotation="90" wrapText="1"/>
      <protection/>
    </xf>
    <xf numFmtId="49" fontId="24" fillId="69" borderId="76" xfId="127" applyNumberFormat="1" applyFont="1" applyFill="1" applyBorder="1" applyAlignment="1">
      <alignment horizontal="center" textRotation="90" wrapText="1"/>
      <protection/>
    </xf>
    <xf numFmtId="3" fontId="24" fillId="69" borderId="77" xfId="127" applyNumberFormat="1" applyFont="1" applyFill="1" applyBorder="1" applyAlignment="1">
      <alignment horizontal="center" textRotation="90" wrapText="1"/>
      <protection/>
    </xf>
    <xf numFmtId="0" fontId="24" fillId="69" borderId="77" xfId="127" applyFont="1" applyFill="1" applyBorder="1" applyAlignment="1">
      <alignment horizontal="center" textRotation="90" wrapText="1"/>
      <protection/>
    </xf>
    <xf numFmtId="3" fontId="24" fillId="69" borderId="46" xfId="127" applyNumberFormat="1" applyFont="1" applyFill="1" applyBorder="1" applyAlignment="1">
      <alignment horizontal="center" wrapText="1"/>
      <protection/>
    </xf>
    <xf numFmtId="3" fontId="24" fillId="69" borderId="46" xfId="71" applyNumberFormat="1" applyFont="1" applyFill="1" applyBorder="1" applyAlignment="1">
      <alignment horizontal="center" wrapText="1"/>
    </xf>
    <xf numFmtId="3" fontId="24" fillId="69" borderId="42" xfId="0" applyNumberFormat="1" applyFont="1" applyFill="1" applyBorder="1" applyAlignment="1">
      <alignment horizontal="center" wrapText="1"/>
    </xf>
    <xf numFmtId="3" fontId="20" fillId="69" borderId="78" xfId="127" applyNumberFormat="1" applyFont="1" applyFill="1" applyBorder="1" applyAlignment="1">
      <alignment horizontal="center" wrapText="1"/>
      <protection/>
    </xf>
    <xf numFmtId="0" fontId="20" fillId="69" borderId="78" xfId="127" applyFont="1" applyFill="1" applyBorder="1" applyAlignment="1">
      <alignment horizontal="center" wrapText="1"/>
      <protection/>
    </xf>
    <xf numFmtId="49" fontId="20" fillId="69" borderId="79" xfId="127" applyNumberFormat="1" applyFont="1" applyFill="1" applyBorder="1" applyAlignment="1">
      <alignment horizontal="center" wrapText="1"/>
      <protection/>
    </xf>
    <xf numFmtId="3" fontId="20" fillId="69" borderId="80" xfId="127" applyNumberFormat="1" applyFont="1" applyFill="1" applyBorder="1" applyAlignment="1">
      <alignment horizontal="center" wrapText="1"/>
      <protection/>
    </xf>
    <xf numFmtId="0" fontId="27" fillId="69" borderId="80" xfId="127" applyFont="1" applyFill="1" applyBorder="1" applyAlignment="1">
      <alignment horizontal="center" wrapText="1"/>
      <protection/>
    </xf>
    <xf numFmtId="3" fontId="20" fillId="69" borderId="81" xfId="127" applyNumberFormat="1" applyFont="1" applyFill="1" applyBorder="1" applyAlignment="1">
      <alignment horizontal="center" wrapText="1"/>
      <protection/>
    </xf>
    <xf numFmtId="3" fontId="20" fillId="69" borderId="81" xfId="71" applyNumberFormat="1" applyFont="1" applyFill="1" applyBorder="1" applyAlignment="1">
      <alignment horizontal="center" wrapText="1"/>
    </xf>
    <xf numFmtId="3" fontId="20" fillId="69" borderId="82" xfId="71" applyNumberFormat="1" applyFont="1" applyFill="1" applyBorder="1" applyAlignment="1">
      <alignment horizontal="center" wrapText="1"/>
    </xf>
    <xf numFmtId="3" fontId="20" fillId="69" borderId="83" xfId="0" applyNumberFormat="1" applyFont="1" applyFill="1" applyBorder="1" applyAlignment="1">
      <alignment horizontal="center" wrapText="1"/>
    </xf>
    <xf numFmtId="0" fontId="20" fillId="69" borderId="84" xfId="0" applyFont="1" applyFill="1" applyBorder="1" applyAlignment="1">
      <alignment horizontal="center"/>
    </xf>
    <xf numFmtId="2" fontId="20" fillId="69" borderId="85" xfId="0" applyNumberFormat="1" applyFont="1" applyFill="1" applyBorder="1" applyAlignment="1">
      <alignment horizontal="center"/>
    </xf>
    <xf numFmtId="49" fontId="19" fillId="69" borderId="85" xfId="0" applyNumberFormat="1" applyFont="1" applyFill="1" applyBorder="1" applyAlignment="1">
      <alignment horizontal="left"/>
    </xf>
    <xf numFmtId="0" fontId="19" fillId="69" borderId="85" xfId="0" applyFont="1" applyFill="1" applyBorder="1" applyAlignment="1">
      <alignment horizontal="center"/>
    </xf>
    <xf numFmtId="0" fontId="38" fillId="69" borderId="86" xfId="0" applyFont="1" applyFill="1" applyBorder="1" applyAlignment="1">
      <alignment horizontal="center"/>
    </xf>
    <xf numFmtId="0" fontId="20" fillId="69" borderId="87" xfId="0" applyFont="1" applyFill="1" applyBorder="1" applyAlignment="1">
      <alignment wrapText="1"/>
    </xf>
    <xf numFmtId="3" fontId="19" fillId="69" borderId="87" xfId="71" applyNumberFormat="1" applyFont="1" applyFill="1" applyBorder="1" applyAlignment="1">
      <alignment horizontal="right"/>
    </xf>
    <xf numFmtId="3" fontId="19" fillId="69" borderId="88" xfId="71" applyNumberFormat="1" applyFont="1" applyFill="1" applyBorder="1" applyAlignment="1">
      <alignment horizontal="right"/>
    </xf>
    <xf numFmtId="3" fontId="19" fillId="69" borderId="44" xfId="0" applyNumberFormat="1" applyFont="1" applyFill="1" applyBorder="1" applyAlignment="1">
      <alignment horizontal="right"/>
    </xf>
    <xf numFmtId="0" fontId="19" fillId="69" borderId="29" xfId="0" applyFont="1" applyFill="1" applyBorder="1" applyAlignment="1">
      <alignment horizontal="center"/>
    </xf>
    <xf numFmtId="0" fontId="19" fillId="69" borderId="30" xfId="0" applyFont="1" applyFill="1" applyBorder="1" applyAlignment="1">
      <alignment horizontal="center"/>
    </xf>
    <xf numFmtId="49" fontId="20" fillId="69" borderId="30" xfId="0" applyNumberFormat="1" applyFont="1" applyFill="1" applyBorder="1" applyAlignment="1">
      <alignment horizontal="left"/>
    </xf>
    <xf numFmtId="0" fontId="38" fillId="69" borderId="38" xfId="0" applyFont="1" applyFill="1" applyBorder="1" applyAlignment="1">
      <alignment horizontal="center"/>
    </xf>
    <xf numFmtId="3" fontId="19" fillId="69" borderId="50" xfId="71" applyNumberFormat="1" applyFont="1" applyFill="1" applyBorder="1" applyAlignment="1">
      <alignment horizontal="right"/>
    </xf>
    <xf numFmtId="3" fontId="19" fillId="69" borderId="50" xfId="0" applyNumberFormat="1" applyFont="1" applyFill="1" applyBorder="1" applyAlignment="1">
      <alignment horizontal="right"/>
    </xf>
    <xf numFmtId="0" fontId="52" fillId="69" borderId="30" xfId="0" applyFont="1" applyFill="1" applyBorder="1" applyAlignment="1">
      <alignment horizontal="center"/>
    </xf>
    <xf numFmtId="0" fontId="50" fillId="69" borderId="38" xfId="0" applyFont="1" applyFill="1" applyBorder="1" applyAlignment="1">
      <alignment horizontal="center"/>
    </xf>
    <xf numFmtId="0" fontId="52" fillId="69" borderId="50" xfId="0" applyFont="1" applyFill="1" applyBorder="1" applyAlignment="1">
      <alignment horizontal="left" wrapText="1"/>
    </xf>
    <xf numFmtId="49" fontId="19" fillId="69" borderId="30" xfId="0" applyNumberFormat="1" applyFont="1" applyFill="1" applyBorder="1" applyAlignment="1">
      <alignment horizontal="left"/>
    </xf>
    <xf numFmtId="3" fontId="19" fillId="69" borderId="50" xfId="0" applyNumberFormat="1" applyFont="1" applyFill="1" applyBorder="1" applyAlignment="1">
      <alignment horizontal="left" wrapText="1"/>
    </xf>
    <xf numFmtId="4" fontId="51" fillId="69" borderId="50" xfId="0" applyNumberFormat="1" applyFont="1" applyFill="1" applyBorder="1" applyAlignment="1">
      <alignment vertical="center"/>
    </xf>
    <xf numFmtId="3" fontId="19" fillId="69" borderId="30" xfId="0" applyNumberFormat="1" applyFont="1" applyFill="1" applyBorder="1" applyAlignment="1">
      <alignment horizontal="center" wrapText="1"/>
    </xf>
    <xf numFmtId="3" fontId="20" fillId="69" borderId="50" xfId="107" applyNumberFormat="1" applyFont="1" applyFill="1" applyBorder="1" applyAlignment="1">
      <alignment horizontal="left" wrapText="1"/>
      <protection/>
    </xf>
    <xf numFmtId="3" fontId="20" fillId="69" borderId="50" xfId="71" applyNumberFormat="1" applyFont="1" applyFill="1" applyBorder="1" applyAlignment="1">
      <alignment horizontal="right" wrapText="1"/>
    </xf>
    <xf numFmtId="0" fontId="38" fillId="69" borderId="38" xfId="107" applyNumberFormat="1" applyFont="1" applyFill="1" applyBorder="1" applyAlignment="1">
      <alignment horizontal="center" wrapText="1"/>
      <protection/>
    </xf>
    <xf numFmtId="3" fontId="19" fillId="69" borderId="50" xfId="107" applyNumberFormat="1" applyFont="1" applyFill="1" applyBorder="1" applyAlignment="1">
      <alignment horizontal="left" wrapText="1"/>
      <protection/>
    </xf>
    <xf numFmtId="0" fontId="20" fillId="69" borderId="50" xfId="0" applyFont="1" applyFill="1" applyBorder="1" applyAlignment="1">
      <alignment wrapText="1"/>
    </xf>
    <xf numFmtId="3" fontId="20" fillId="69" borderId="50" xfId="71" applyNumberFormat="1" applyFont="1" applyFill="1" applyBorder="1" applyAlignment="1">
      <alignment horizontal="right"/>
    </xf>
    <xf numFmtId="0" fontId="19" fillId="69" borderId="23" xfId="0" applyFont="1" applyFill="1" applyBorder="1" applyAlignment="1">
      <alignment horizontal="center" vertical="center" wrapText="1"/>
    </xf>
    <xf numFmtId="3" fontId="20" fillId="69" borderId="50" xfId="107" applyNumberFormat="1" applyFont="1" applyFill="1" applyBorder="1" applyAlignment="1">
      <alignment horizontal="left" vertical="center" wrapText="1"/>
      <protection/>
    </xf>
    <xf numFmtId="0" fontId="19" fillId="69" borderId="23" xfId="107" applyNumberFormat="1" applyFont="1" applyFill="1" applyBorder="1" applyAlignment="1">
      <alignment horizontal="center" vertical="center" wrapText="1"/>
      <protection/>
    </xf>
    <xf numFmtId="3" fontId="19" fillId="69" borderId="50" xfId="107" applyNumberFormat="1" applyFont="1" applyFill="1" applyBorder="1" applyAlignment="1">
      <alignment horizontal="left" vertical="center" wrapText="1"/>
      <protection/>
    </xf>
    <xf numFmtId="0" fontId="20" fillId="69" borderId="29" xfId="0" applyFont="1" applyFill="1" applyBorder="1" applyAlignment="1">
      <alignment horizontal="center"/>
    </xf>
    <xf numFmtId="0" fontId="40" fillId="69" borderId="30" xfId="0" applyFont="1" applyFill="1" applyBorder="1" applyAlignment="1">
      <alignment horizontal="center"/>
    </xf>
    <xf numFmtId="49" fontId="40" fillId="69" borderId="30" xfId="0" applyNumberFormat="1" applyFont="1" applyFill="1" applyBorder="1" applyAlignment="1">
      <alignment horizontal="left"/>
    </xf>
    <xf numFmtId="3" fontId="52" fillId="69" borderId="50" xfId="127" applyNumberFormat="1" applyFont="1" applyFill="1" applyBorder="1" applyAlignment="1">
      <alignment horizontal="left" wrapText="1"/>
      <protection/>
    </xf>
    <xf numFmtId="0" fontId="53" fillId="69" borderId="50" xfId="0" applyFont="1" applyFill="1" applyBorder="1" applyAlignment="1" applyProtection="1">
      <alignment wrapText="1"/>
      <protection locked="0"/>
    </xf>
    <xf numFmtId="0" fontId="19" fillId="69" borderId="50" xfId="0" applyFont="1" applyFill="1" applyBorder="1" applyAlignment="1">
      <alignment/>
    </xf>
    <xf numFmtId="3" fontId="19" fillId="69" borderId="50" xfId="71" applyNumberFormat="1" applyFont="1" applyFill="1" applyBorder="1" applyAlignment="1">
      <alignment horizontal="right" vertical="center"/>
    </xf>
    <xf numFmtId="0" fontId="54" fillId="69" borderId="50" xfId="0" applyFont="1" applyFill="1" applyBorder="1" applyAlignment="1" applyProtection="1">
      <alignment wrapText="1"/>
      <protection locked="0"/>
    </xf>
    <xf numFmtId="3" fontId="20" fillId="69" borderId="50" xfId="107" applyNumberFormat="1" applyFont="1" applyFill="1" applyBorder="1" applyAlignment="1">
      <alignment horizontal="left" wrapText="1"/>
      <protection/>
    </xf>
    <xf numFmtId="3" fontId="52" fillId="69" borderId="50" xfId="71" applyNumberFormat="1" applyFont="1" applyFill="1" applyBorder="1" applyAlignment="1">
      <alignment horizontal="right"/>
    </xf>
    <xf numFmtId="0" fontId="19" fillId="69" borderId="30" xfId="0" applyFont="1" applyFill="1" applyBorder="1" applyAlignment="1">
      <alignment/>
    </xf>
    <xf numFmtId="0" fontId="55" fillId="69" borderId="50" xfId="0" applyFont="1" applyFill="1" applyBorder="1" applyAlignment="1">
      <alignment horizontal="left" wrapText="1"/>
    </xf>
    <xf numFmtId="3" fontId="20" fillId="69" borderId="50" xfId="0" applyNumberFormat="1" applyFont="1" applyFill="1" applyBorder="1" applyAlignment="1">
      <alignment horizontal="left" wrapText="1"/>
    </xf>
    <xf numFmtId="3" fontId="20" fillId="69" borderId="30" xfId="127" applyNumberFormat="1" applyFont="1" applyFill="1" applyBorder="1" applyAlignment="1">
      <alignment horizontal="left"/>
      <protection/>
    </xf>
    <xf numFmtId="3" fontId="20" fillId="69" borderId="30" xfId="127" applyNumberFormat="1" applyFont="1" applyFill="1" applyBorder="1" applyAlignment="1">
      <alignment horizontal="center"/>
      <protection/>
    </xf>
    <xf numFmtId="3" fontId="38" fillId="69" borderId="38" xfId="127" applyNumberFormat="1" applyFont="1" applyFill="1" applyBorder="1" applyAlignment="1">
      <alignment horizontal="center"/>
      <protection/>
    </xf>
    <xf numFmtId="3" fontId="19" fillId="69" borderId="50" xfId="71" applyNumberFormat="1" applyFont="1" applyFill="1" applyBorder="1" applyAlignment="1">
      <alignment/>
    </xf>
    <xf numFmtId="49" fontId="20" fillId="69" borderId="30" xfId="0" applyNumberFormat="1" applyFont="1" applyFill="1" applyBorder="1" applyAlignment="1" applyProtection="1">
      <alignment horizontal="left"/>
      <protection/>
    </xf>
    <xf numFmtId="3" fontId="19" fillId="69" borderId="30" xfId="127" applyNumberFormat="1" applyFont="1" applyFill="1" applyBorder="1" applyAlignment="1">
      <alignment horizontal="center"/>
      <protection/>
    </xf>
    <xf numFmtId="3" fontId="20" fillId="69" borderId="50" xfId="71" applyNumberFormat="1" applyFont="1" applyFill="1" applyBorder="1" applyAlignment="1">
      <alignment/>
    </xf>
    <xf numFmtId="3" fontId="26" fillId="69" borderId="38" xfId="127" applyNumberFormat="1" applyFont="1" applyFill="1" applyBorder="1" applyAlignment="1">
      <alignment horizontal="center"/>
      <protection/>
    </xf>
    <xf numFmtId="0" fontId="49" fillId="69" borderId="38" xfId="0" applyFont="1" applyFill="1" applyBorder="1" applyAlignment="1">
      <alignment horizontal="center"/>
    </xf>
    <xf numFmtId="3" fontId="19" fillId="69" borderId="30" xfId="127" applyNumberFormat="1" applyFont="1" applyFill="1" applyBorder="1" applyAlignment="1">
      <alignment horizontal="center"/>
      <protection/>
    </xf>
    <xf numFmtId="0" fontId="20" fillId="69" borderId="30" xfId="0" applyFont="1" applyFill="1" applyBorder="1" applyAlignment="1">
      <alignment horizontal="left"/>
    </xf>
    <xf numFmtId="0" fontId="20" fillId="69" borderId="50" xfId="0" applyFont="1" applyFill="1" applyBorder="1" applyAlignment="1">
      <alignment/>
    </xf>
    <xf numFmtId="0" fontId="52" fillId="69" borderId="50" xfId="0" applyFont="1" applyFill="1" applyBorder="1" applyAlignment="1">
      <alignment wrapText="1"/>
    </xf>
    <xf numFmtId="49" fontId="38" fillId="69" borderId="0" xfId="0" applyNumberFormat="1" applyFont="1" applyFill="1" applyBorder="1" applyAlignment="1">
      <alignment horizontal="center" vertical="center"/>
    </xf>
    <xf numFmtId="3" fontId="38" fillId="69" borderId="50" xfId="127" applyNumberFormat="1" applyFont="1" applyFill="1" applyBorder="1" applyAlignment="1">
      <alignment horizontal="left" vertical="center" wrapText="1"/>
      <protection/>
    </xf>
    <xf numFmtId="49" fontId="38" fillId="69" borderId="0" xfId="0" applyNumberFormat="1" applyFont="1" applyFill="1" applyBorder="1" applyAlignment="1">
      <alignment horizontal="center" vertical="center" wrapText="1"/>
    </xf>
    <xf numFmtId="3" fontId="38" fillId="69" borderId="50" xfId="0" applyNumberFormat="1" applyFont="1" applyFill="1" applyBorder="1" applyAlignment="1">
      <alignment horizontal="left" vertical="center" wrapText="1"/>
    </xf>
    <xf numFmtId="3" fontId="20" fillId="69" borderId="29" xfId="127" applyNumberFormat="1" applyFont="1" applyFill="1" applyBorder="1" applyAlignment="1">
      <alignment horizontal="center"/>
      <protection/>
    </xf>
    <xf numFmtId="0" fontId="20" fillId="69" borderId="30" xfId="127" applyNumberFormat="1" applyFont="1" applyFill="1" applyBorder="1" applyAlignment="1">
      <alignment horizontal="center"/>
      <protection/>
    </xf>
    <xf numFmtId="0" fontId="27" fillId="69" borderId="38" xfId="0" applyFont="1" applyFill="1" applyBorder="1" applyAlignment="1">
      <alignment horizontal="center"/>
    </xf>
    <xf numFmtId="0" fontId="20" fillId="69" borderId="50" xfId="0" applyFont="1" applyFill="1" applyBorder="1" applyAlignment="1" applyProtection="1">
      <alignment/>
      <protection/>
    </xf>
    <xf numFmtId="0" fontId="52" fillId="69" borderId="50" xfId="0" applyFont="1" applyFill="1" applyBorder="1" applyAlignment="1">
      <alignment/>
    </xf>
    <xf numFmtId="3" fontId="20" fillId="69" borderId="50" xfId="0" applyNumberFormat="1" applyFont="1" applyFill="1" applyBorder="1" applyAlignment="1">
      <alignment horizontal="left"/>
    </xf>
    <xf numFmtId="0" fontId="19" fillId="69" borderId="50" xfId="0" applyFont="1" applyFill="1" applyBorder="1" applyAlignment="1">
      <alignment horizontal="left" wrapText="1"/>
    </xf>
    <xf numFmtId="0" fontId="19" fillId="69" borderId="50" xfId="0" applyFont="1" applyFill="1" applyBorder="1" applyAlignment="1">
      <alignment wrapText="1"/>
    </xf>
    <xf numFmtId="0" fontId="38" fillId="69" borderId="38" xfId="0" applyFont="1" applyFill="1" applyBorder="1" applyAlignment="1">
      <alignment/>
    </xf>
    <xf numFmtId="0" fontId="19" fillId="69" borderId="50" xfId="0" applyFont="1" applyFill="1" applyBorder="1" applyAlignment="1">
      <alignment/>
    </xf>
    <xf numFmtId="0" fontId="52" fillId="69" borderId="30" xfId="0" applyFont="1" applyFill="1" applyBorder="1" applyAlignment="1">
      <alignment/>
    </xf>
    <xf numFmtId="0" fontId="55" fillId="69" borderId="50" xfId="0" applyFont="1" applyFill="1" applyBorder="1" applyAlignment="1">
      <alignment wrapText="1"/>
    </xf>
    <xf numFmtId="0" fontId="38" fillId="69" borderId="38" xfId="125" applyFont="1" applyFill="1" applyBorder="1" applyAlignment="1">
      <alignment horizontal="center"/>
      <protection/>
    </xf>
    <xf numFmtId="0" fontId="19" fillId="69" borderId="29" xfId="0" applyFont="1" applyFill="1" applyBorder="1" applyAlignment="1">
      <alignment/>
    </xf>
    <xf numFmtId="49" fontId="57" fillId="69" borderId="30" xfId="111" applyNumberFormat="1" applyFont="1" applyFill="1" applyBorder="1" applyAlignment="1" applyProtection="1">
      <alignment horizontal="left"/>
      <protection/>
    </xf>
    <xf numFmtId="0" fontId="58" fillId="69" borderId="38" xfId="111" applyFont="1" applyFill="1" applyBorder="1" applyAlignment="1" applyProtection="1">
      <alignment/>
      <protection/>
    </xf>
    <xf numFmtId="0" fontId="57" fillId="69" borderId="50" xfId="111" applyFont="1" applyFill="1" applyBorder="1" applyAlignment="1" applyProtection="1">
      <alignment horizontal="left"/>
      <protection/>
    </xf>
    <xf numFmtId="0" fontId="52" fillId="69" borderId="30" xfId="0" applyNumberFormat="1" applyFont="1" applyFill="1" applyBorder="1" applyAlignment="1" applyProtection="1">
      <alignment horizontal="center"/>
      <protection/>
    </xf>
    <xf numFmtId="0" fontId="52" fillId="69" borderId="50" xfId="0" applyFont="1" applyFill="1" applyBorder="1" applyAlignment="1" applyProtection="1">
      <alignment/>
      <protection/>
    </xf>
    <xf numFmtId="4" fontId="20" fillId="69" borderId="50" xfId="71" applyNumberFormat="1" applyFont="1" applyFill="1" applyBorder="1" applyAlignment="1">
      <alignment horizontal="right"/>
    </xf>
    <xf numFmtId="0" fontId="19" fillId="69" borderId="30" xfId="0" applyFont="1" applyFill="1" applyBorder="1" applyAlignment="1">
      <alignment horizontal="left"/>
    </xf>
    <xf numFmtId="0" fontId="27" fillId="69" borderId="50" xfId="0" applyFont="1" applyFill="1" applyBorder="1" applyAlignment="1">
      <alignment/>
    </xf>
    <xf numFmtId="49" fontId="52" fillId="69" borderId="30" xfId="0" applyNumberFormat="1" applyFont="1" applyFill="1" applyBorder="1" applyAlignment="1">
      <alignment horizontal="left"/>
    </xf>
    <xf numFmtId="3" fontId="19" fillId="69" borderId="29" xfId="127" applyNumberFormat="1" applyFont="1" applyFill="1" applyBorder="1" applyAlignment="1">
      <alignment horizontal="center"/>
      <protection/>
    </xf>
    <xf numFmtId="0" fontId="19" fillId="69" borderId="30" xfId="127" applyNumberFormat="1" applyFont="1" applyFill="1" applyBorder="1" applyAlignment="1">
      <alignment horizontal="center"/>
      <protection/>
    </xf>
    <xf numFmtId="49" fontId="19" fillId="69" borderId="30" xfId="0" applyNumberFormat="1" applyFont="1" applyFill="1" applyBorder="1" applyAlignment="1" applyProtection="1">
      <alignment horizontal="left"/>
      <protection/>
    </xf>
    <xf numFmtId="0" fontId="19" fillId="69" borderId="50" xfId="0" applyFont="1" applyFill="1" applyBorder="1" applyAlignment="1" applyProtection="1">
      <alignment/>
      <protection/>
    </xf>
    <xf numFmtId="3" fontId="52" fillId="69" borderId="30" xfId="127" applyNumberFormat="1" applyFont="1" applyFill="1" applyBorder="1" applyAlignment="1">
      <alignment horizontal="center"/>
      <protection/>
    </xf>
    <xf numFmtId="0" fontId="59" fillId="69" borderId="50" xfId="111" applyFont="1" applyFill="1" applyBorder="1" applyAlignment="1" applyProtection="1">
      <alignment horizontal="left"/>
      <protection/>
    </xf>
    <xf numFmtId="3" fontId="38" fillId="69" borderId="50" xfId="71" applyNumberFormat="1" applyFont="1" applyFill="1" applyBorder="1" applyAlignment="1">
      <alignment horizontal="right"/>
    </xf>
    <xf numFmtId="0" fontId="19" fillId="69" borderId="50" xfId="0" applyFont="1" applyFill="1" applyBorder="1" applyAlignment="1" applyProtection="1">
      <alignment wrapText="1"/>
      <protection/>
    </xf>
    <xf numFmtId="3" fontId="20" fillId="69" borderId="50" xfId="127" applyNumberFormat="1" applyFont="1" applyFill="1" applyBorder="1" applyAlignment="1">
      <alignment horizontal="left"/>
      <protection/>
    </xf>
    <xf numFmtId="0" fontId="19" fillId="69" borderId="0" xfId="0" applyFont="1" applyFill="1" applyAlignment="1">
      <alignment/>
    </xf>
    <xf numFmtId="3" fontId="19" fillId="69" borderId="50" xfId="107" applyNumberFormat="1" applyFont="1" applyFill="1" applyBorder="1" applyAlignment="1">
      <alignment horizontal="left" wrapText="1"/>
      <protection/>
    </xf>
    <xf numFmtId="3" fontId="20" fillId="69" borderId="50" xfId="0" applyNumberFormat="1" applyFont="1" applyFill="1" applyBorder="1" applyAlignment="1">
      <alignment horizontal="right"/>
    </xf>
    <xf numFmtId="49" fontId="20" fillId="69" borderId="46" xfId="0" applyNumberFormat="1" applyFont="1" applyFill="1" applyBorder="1" applyAlignment="1">
      <alignment horizontal="left"/>
    </xf>
    <xf numFmtId="0" fontId="19" fillId="69" borderId="46" xfId="0" applyFont="1" applyFill="1" applyBorder="1" applyAlignment="1">
      <alignment horizontal="center"/>
    </xf>
    <xf numFmtId="0" fontId="20" fillId="69" borderId="38" xfId="127" applyNumberFormat="1" applyFont="1" applyFill="1" applyBorder="1" applyAlignment="1">
      <alignment horizontal="center"/>
      <protection/>
    </xf>
    <xf numFmtId="0" fontId="19" fillId="69" borderId="71" xfId="0" applyFont="1" applyFill="1" applyBorder="1" applyAlignment="1">
      <alignment horizontal="center"/>
    </xf>
    <xf numFmtId="49" fontId="20" fillId="69" borderId="47" xfId="0" applyNumberFormat="1" applyFont="1" applyFill="1" applyBorder="1" applyAlignment="1">
      <alignment horizontal="left"/>
    </xf>
    <xf numFmtId="0" fontId="52" fillId="69" borderId="47" xfId="0" applyFont="1" applyFill="1" applyBorder="1" applyAlignment="1">
      <alignment horizontal="center"/>
    </xf>
    <xf numFmtId="3" fontId="20" fillId="69" borderId="89" xfId="127" applyNumberFormat="1" applyFont="1" applyFill="1" applyBorder="1" applyAlignment="1">
      <alignment horizontal="center"/>
      <protection/>
    </xf>
    <xf numFmtId="0" fontId="20" fillId="69" borderId="46" xfId="127" applyNumberFormat="1" applyFont="1" applyFill="1" applyBorder="1" applyAlignment="1">
      <alignment horizontal="center"/>
      <protection/>
    </xf>
    <xf numFmtId="3" fontId="20" fillId="69" borderId="46" xfId="127" applyNumberFormat="1" applyFont="1" applyFill="1" applyBorder="1" applyAlignment="1">
      <alignment horizontal="left"/>
      <protection/>
    </xf>
    <xf numFmtId="3" fontId="20" fillId="69" borderId="50" xfId="127" applyNumberFormat="1" applyFont="1" applyFill="1" applyBorder="1" applyAlignment="1">
      <alignment horizontal="center"/>
      <protection/>
    </xf>
    <xf numFmtId="0" fontId="20" fillId="69" borderId="50" xfId="127" applyNumberFormat="1" applyFont="1" applyFill="1" applyBorder="1" applyAlignment="1">
      <alignment horizontal="center"/>
      <protection/>
    </xf>
    <xf numFmtId="3" fontId="20" fillId="69" borderId="50" xfId="127" applyNumberFormat="1" applyFont="1" applyFill="1" applyBorder="1" applyAlignment="1">
      <alignment horizontal="left"/>
      <protection/>
    </xf>
    <xf numFmtId="3" fontId="20" fillId="69" borderId="71" xfId="127" applyNumberFormat="1" applyFont="1" applyFill="1" applyBorder="1" applyAlignment="1">
      <alignment horizontal="center"/>
      <protection/>
    </xf>
    <xf numFmtId="49" fontId="20" fillId="69" borderId="50" xfId="0" applyNumberFormat="1" applyFont="1" applyFill="1" applyBorder="1" applyAlignment="1" applyProtection="1">
      <alignment horizontal="left"/>
      <protection/>
    </xf>
    <xf numFmtId="49" fontId="20" fillId="69" borderId="71" xfId="0" applyNumberFormat="1" applyFont="1" applyFill="1" applyBorder="1" applyAlignment="1" applyProtection="1">
      <alignment horizontal="left"/>
      <protection/>
    </xf>
    <xf numFmtId="0" fontId="19" fillId="69" borderId="50" xfId="0" applyFont="1" applyFill="1" applyBorder="1" applyAlignment="1">
      <alignment horizontal="center"/>
    </xf>
    <xf numFmtId="49" fontId="20" fillId="69" borderId="50" xfId="0" applyNumberFormat="1" applyFont="1" applyFill="1" applyBorder="1" applyAlignment="1">
      <alignment horizontal="left"/>
    </xf>
    <xf numFmtId="0" fontId="20" fillId="69" borderId="71" xfId="0" applyFont="1" applyFill="1" applyBorder="1" applyAlignment="1">
      <alignment horizontal="center"/>
    </xf>
    <xf numFmtId="49" fontId="52" fillId="69" borderId="71" xfId="0" applyNumberFormat="1" applyFont="1" applyFill="1" applyBorder="1" applyAlignment="1" applyProtection="1">
      <alignment horizontal="center"/>
      <protection/>
    </xf>
    <xf numFmtId="49" fontId="19" fillId="69" borderId="50" xfId="0" applyNumberFormat="1" applyFont="1" applyFill="1" applyBorder="1" applyAlignment="1">
      <alignment horizontal="left"/>
    </xf>
    <xf numFmtId="49" fontId="19" fillId="69" borderId="52" xfId="0" applyNumberFormat="1" applyFont="1" applyFill="1" applyBorder="1" applyAlignment="1">
      <alignment horizontal="left"/>
    </xf>
    <xf numFmtId="0" fontId="19" fillId="69" borderId="90" xfId="0" applyFont="1" applyFill="1" applyBorder="1" applyAlignment="1">
      <alignment horizontal="center"/>
    </xf>
    <xf numFmtId="49" fontId="20" fillId="69" borderId="45" xfId="0" applyNumberFormat="1" applyFont="1" applyFill="1" applyBorder="1" applyAlignment="1">
      <alignment horizontal="left"/>
    </xf>
    <xf numFmtId="0" fontId="20" fillId="69" borderId="91" xfId="0" applyFont="1" applyFill="1" applyBorder="1" applyAlignment="1">
      <alignment horizontal="center"/>
    </xf>
    <xf numFmtId="49" fontId="52" fillId="69" borderId="71" xfId="127" applyNumberFormat="1" applyFont="1" applyFill="1" applyBorder="1" applyAlignment="1">
      <alignment horizontal="center"/>
      <protection/>
    </xf>
    <xf numFmtId="3" fontId="50" fillId="69" borderId="38" xfId="127" applyNumberFormat="1" applyFont="1" applyFill="1" applyBorder="1" applyAlignment="1">
      <alignment horizontal="center"/>
      <protection/>
    </xf>
    <xf numFmtId="0" fontId="19" fillId="69" borderId="92" xfId="0" applyFont="1" applyFill="1" applyBorder="1" applyAlignment="1">
      <alignment horizontal="center"/>
    </xf>
    <xf numFmtId="0" fontId="19" fillId="69" borderId="47" xfId="0" applyFont="1" applyFill="1" applyBorder="1" applyAlignment="1">
      <alignment horizontal="center"/>
    </xf>
    <xf numFmtId="49" fontId="19" fillId="69" borderId="47" xfId="0" applyNumberFormat="1" applyFont="1" applyFill="1" applyBorder="1" applyAlignment="1">
      <alignment horizontal="left"/>
    </xf>
    <xf numFmtId="49" fontId="19" fillId="69" borderId="46" xfId="0" applyNumberFormat="1" applyFont="1" applyFill="1" applyBorder="1" applyAlignment="1">
      <alignment horizontal="left"/>
    </xf>
    <xf numFmtId="0" fontId="19" fillId="69" borderId="71" xfId="0" applyFont="1" applyFill="1" applyBorder="1" applyAlignment="1">
      <alignment/>
    </xf>
    <xf numFmtId="49" fontId="52" fillId="69" borderId="50" xfId="0" applyNumberFormat="1" applyFont="1" applyFill="1" applyBorder="1" applyAlignment="1">
      <alignment/>
    </xf>
    <xf numFmtId="0" fontId="60" fillId="69" borderId="50" xfId="111" applyFont="1" applyFill="1" applyBorder="1" applyAlignment="1" applyProtection="1">
      <alignment horizontal="left"/>
      <protection/>
    </xf>
    <xf numFmtId="0" fontId="19" fillId="69" borderId="38" xfId="0" applyFont="1" applyFill="1" applyBorder="1" applyAlignment="1">
      <alignment horizontal="center"/>
    </xf>
    <xf numFmtId="3" fontId="20" fillId="69" borderId="39" xfId="71" applyNumberFormat="1" applyFont="1" applyFill="1" applyBorder="1" applyAlignment="1">
      <alignment horizontal="right"/>
    </xf>
    <xf numFmtId="3" fontId="19" fillId="69" borderId="71" xfId="0" applyNumberFormat="1" applyFont="1" applyFill="1" applyBorder="1" applyAlignment="1">
      <alignment horizontal="center" wrapText="1"/>
    </xf>
    <xf numFmtId="3" fontId="19" fillId="69" borderId="47" xfId="71" applyNumberFormat="1" applyFont="1" applyFill="1" applyBorder="1" applyAlignment="1">
      <alignment horizontal="right"/>
    </xf>
    <xf numFmtId="3" fontId="19" fillId="69" borderId="54" xfId="71" applyNumberFormat="1" applyFont="1" applyFill="1" applyBorder="1" applyAlignment="1">
      <alignment horizontal="right"/>
    </xf>
    <xf numFmtId="3" fontId="19" fillId="69" borderId="71" xfId="71" applyNumberFormat="1" applyFont="1" applyFill="1" applyBorder="1" applyAlignment="1">
      <alignment horizontal="right"/>
    </xf>
    <xf numFmtId="3" fontId="19" fillId="69" borderId="38" xfId="71" applyNumberFormat="1" applyFont="1" applyFill="1" applyBorder="1" applyAlignment="1">
      <alignment horizontal="right"/>
    </xf>
    <xf numFmtId="4" fontId="51" fillId="69" borderId="0" xfId="0" applyNumberFormat="1" applyFont="1" applyFill="1" applyAlignment="1">
      <alignment vertical="center"/>
    </xf>
    <xf numFmtId="4" fontId="51" fillId="69" borderId="38" xfId="0" applyNumberFormat="1" applyFont="1" applyFill="1" applyBorder="1" applyAlignment="1">
      <alignment/>
    </xf>
    <xf numFmtId="3" fontId="20" fillId="69" borderId="30" xfId="71" applyNumberFormat="1" applyFont="1" applyFill="1" applyBorder="1" applyAlignment="1">
      <alignment horizontal="right" wrapText="1"/>
    </xf>
    <xf numFmtId="3" fontId="20" fillId="69" borderId="38" xfId="71" applyNumberFormat="1" applyFont="1" applyFill="1" applyBorder="1" applyAlignment="1">
      <alignment horizontal="right" wrapText="1"/>
    </xf>
    <xf numFmtId="3" fontId="20" fillId="69" borderId="38" xfId="71" applyNumberFormat="1" applyFont="1" applyFill="1" applyBorder="1" applyAlignment="1">
      <alignment horizontal="right"/>
    </xf>
    <xf numFmtId="3" fontId="20" fillId="69" borderId="40" xfId="71" applyNumberFormat="1" applyFont="1" applyFill="1" applyBorder="1" applyAlignment="1">
      <alignment horizontal="right" wrapText="1"/>
    </xf>
    <xf numFmtId="4" fontId="51" fillId="69" borderId="93" xfId="0" applyNumberFormat="1" applyFont="1" applyFill="1" applyBorder="1" applyAlignment="1">
      <alignment/>
    </xf>
    <xf numFmtId="3" fontId="20" fillId="69" borderId="30" xfId="107" applyNumberFormat="1" applyFont="1" applyFill="1" applyBorder="1" applyAlignment="1">
      <alignment horizontal="left" wrapText="1"/>
      <protection/>
    </xf>
    <xf numFmtId="3" fontId="20" fillId="69" borderId="88" xfId="71" applyNumberFormat="1" applyFont="1" applyFill="1" applyBorder="1" applyAlignment="1">
      <alignment horizontal="right"/>
    </xf>
    <xf numFmtId="4" fontId="51" fillId="69" borderId="94" xfId="0" applyNumberFormat="1" applyFont="1" applyFill="1" applyBorder="1" applyAlignment="1">
      <alignment/>
    </xf>
    <xf numFmtId="0" fontId="53" fillId="69" borderId="30" xfId="0" applyFont="1" applyFill="1" applyBorder="1" applyAlignment="1">
      <alignment wrapText="1"/>
    </xf>
    <xf numFmtId="0" fontId="20" fillId="69" borderId="30" xfId="0" applyFont="1" applyFill="1" applyBorder="1" applyAlignment="1">
      <alignment/>
    </xf>
    <xf numFmtId="3" fontId="20" fillId="69" borderId="30" xfId="127" applyNumberFormat="1" applyFont="1" applyFill="1" applyBorder="1" applyAlignment="1">
      <alignment horizontal="left" wrapText="1"/>
      <protection/>
    </xf>
    <xf numFmtId="49" fontId="52" fillId="69" borderId="30" xfId="0" applyNumberFormat="1" applyFont="1" applyFill="1" applyBorder="1" applyAlignment="1" applyProtection="1">
      <alignment horizontal="center"/>
      <protection/>
    </xf>
    <xf numFmtId="0" fontId="52" fillId="69" borderId="30" xfId="0" applyFont="1" applyFill="1" applyBorder="1" applyAlignment="1" applyProtection="1">
      <alignment/>
      <protection/>
    </xf>
    <xf numFmtId="3" fontId="19" fillId="69" borderId="40" xfId="71" applyNumberFormat="1" applyFont="1" applyFill="1" applyBorder="1" applyAlignment="1">
      <alignment horizontal="right"/>
    </xf>
    <xf numFmtId="3" fontId="19" fillId="69" borderId="38" xfId="0" applyNumberFormat="1" applyFont="1" applyFill="1" applyBorder="1" applyAlignment="1">
      <alignment horizontal="left" wrapText="1"/>
    </xf>
    <xf numFmtId="4" fontId="51" fillId="69" borderId="39" xfId="0" applyNumberFormat="1" applyFont="1" applyFill="1" applyBorder="1" applyAlignment="1">
      <alignment vertical="center"/>
    </xf>
    <xf numFmtId="3" fontId="20" fillId="69" borderId="54" xfId="71" applyNumberFormat="1" applyFont="1" applyFill="1" applyBorder="1" applyAlignment="1">
      <alignment horizontal="right" wrapText="1"/>
    </xf>
    <xf numFmtId="3" fontId="19" fillId="69" borderId="30" xfId="107" applyNumberFormat="1" applyFont="1" applyFill="1" applyBorder="1" applyAlignment="1">
      <alignment horizontal="left" wrapText="1"/>
      <protection/>
    </xf>
    <xf numFmtId="0" fontId="20" fillId="69" borderId="30" xfId="0" applyFont="1" applyFill="1" applyBorder="1" applyAlignment="1">
      <alignment wrapText="1"/>
    </xf>
    <xf numFmtId="3" fontId="19" fillId="69" borderId="30" xfId="0" applyNumberFormat="1" applyFont="1" applyFill="1" applyBorder="1" applyAlignment="1">
      <alignment horizontal="left" wrapText="1"/>
    </xf>
    <xf numFmtId="0" fontId="19" fillId="69" borderId="30" xfId="0" applyFont="1" applyFill="1" applyBorder="1" applyAlignment="1">
      <alignment wrapText="1"/>
    </xf>
    <xf numFmtId="4" fontId="51" fillId="69" borderId="38" xfId="0" applyNumberFormat="1" applyFont="1" applyFill="1" applyBorder="1" applyAlignment="1">
      <alignment vertical="center"/>
    </xf>
    <xf numFmtId="3" fontId="20" fillId="69" borderId="54" xfId="71" applyNumberFormat="1" applyFont="1" applyFill="1" applyBorder="1" applyAlignment="1">
      <alignment horizontal="right"/>
    </xf>
    <xf numFmtId="4" fontId="51" fillId="69" borderId="95" xfId="0" applyNumberFormat="1" applyFont="1" applyFill="1" applyBorder="1" applyAlignment="1">
      <alignment/>
    </xf>
    <xf numFmtId="0" fontId="55" fillId="69" borderId="30" xfId="0" applyFont="1" applyFill="1" applyBorder="1" applyAlignment="1">
      <alignment horizontal="left" wrapText="1"/>
    </xf>
    <xf numFmtId="0" fontId="19" fillId="69" borderId="40" xfId="0" applyFont="1" applyFill="1" applyBorder="1" applyAlignment="1">
      <alignment/>
    </xf>
    <xf numFmtId="0" fontId="19" fillId="69" borderId="46" xfId="0" applyFont="1" applyFill="1" applyBorder="1" applyAlignment="1">
      <alignment/>
    </xf>
    <xf numFmtId="200" fontId="19" fillId="69" borderId="38" xfId="71" applyNumberFormat="1" applyFont="1" applyFill="1" applyBorder="1" applyAlignment="1">
      <alignment horizontal="left" wrapText="1"/>
    </xf>
    <xf numFmtId="4" fontId="51" fillId="69" borderId="71" xfId="0" applyNumberFormat="1" applyFont="1" applyFill="1" applyBorder="1" applyAlignment="1">
      <alignment/>
    </xf>
    <xf numFmtId="0" fontId="20" fillId="69" borderId="54" xfId="0" applyFont="1" applyFill="1" applyBorder="1" applyAlignment="1">
      <alignment horizontal="left" wrapText="1"/>
    </xf>
    <xf numFmtId="0" fontId="20" fillId="69" borderId="47" xfId="0" applyFont="1" applyFill="1" applyBorder="1" applyAlignment="1">
      <alignment horizontal="left" wrapText="1"/>
    </xf>
    <xf numFmtId="3" fontId="20" fillId="69" borderId="40" xfId="71" applyNumberFormat="1" applyFont="1" applyFill="1" applyBorder="1" applyAlignment="1">
      <alignment horizontal="right"/>
    </xf>
    <xf numFmtId="0" fontId="20" fillId="69" borderId="38" xfId="0" applyFont="1" applyFill="1" applyBorder="1" applyAlignment="1">
      <alignment wrapText="1"/>
    </xf>
    <xf numFmtId="3" fontId="20" fillId="69" borderId="71" xfId="71" applyNumberFormat="1" applyFont="1" applyFill="1" applyBorder="1" applyAlignment="1">
      <alignment horizontal="right"/>
    </xf>
    <xf numFmtId="0" fontId="19" fillId="69" borderId="38" xfId="0" applyFont="1" applyFill="1" applyBorder="1" applyAlignment="1">
      <alignment wrapText="1"/>
    </xf>
    <xf numFmtId="4" fontId="51" fillId="69" borderId="30" xfId="0" applyNumberFormat="1" applyFont="1" applyFill="1" applyBorder="1" applyAlignment="1">
      <alignment/>
    </xf>
    <xf numFmtId="3" fontId="20" fillId="69" borderId="30" xfId="107" applyNumberFormat="1" applyFont="1" applyFill="1" applyBorder="1" applyAlignment="1">
      <alignment horizontal="left" wrapText="1"/>
      <protection/>
    </xf>
    <xf numFmtId="3" fontId="19" fillId="69" borderId="30" xfId="71" applyNumberFormat="1" applyFont="1" applyFill="1" applyBorder="1" applyAlignment="1">
      <alignment horizontal="right"/>
    </xf>
    <xf numFmtId="0" fontId="55" fillId="69" borderId="29" xfId="0" applyFont="1" applyFill="1" applyBorder="1" applyAlignment="1">
      <alignment horizontal="center"/>
    </xf>
    <xf numFmtId="0" fontId="55" fillId="69" borderId="30" xfId="0" applyFont="1" applyFill="1" applyBorder="1" applyAlignment="1">
      <alignment horizontal="center"/>
    </xf>
    <xf numFmtId="0" fontId="55" fillId="69" borderId="30" xfId="0" applyFont="1" applyFill="1" applyBorder="1" applyAlignment="1">
      <alignment horizontal="left"/>
    </xf>
    <xf numFmtId="0" fontId="50" fillId="69" borderId="38" xfId="0" applyFont="1" applyFill="1" applyBorder="1" applyAlignment="1">
      <alignment/>
    </xf>
    <xf numFmtId="3" fontId="55" fillId="69" borderId="38" xfId="71" applyNumberFormat="1" applyFont="1" applyFill="1" applyBorder="1" applyAlignment="1">
      <alignment horizontal="right"/>
    </xf>
    <xf numFmtId="3" fontId="55" fillId="69" borderId="30" xfId="71" applyNumberFormat="1" applyFont="1" applyFill="1" applyBorder="1" applyAlignment="1">
      <alignment horizontal="right"/>
    </xf>
    <xf numFmtId="3" fontId="19" fillId="69" borderId="30" xfId="0" applyNumberFormat="1" applyFont="1" applyFill="1" applyBorder="1" applyAlignment="1">
      <alignment horizontal="left" wrapText="1"/>
    </xf>
    <xf numFmtId="0" fontId="38" fillId="69" borderId="30" xfId="0" applyFont="1" applyFill="1" applyBorder="1" applyAlignment="1">
      <alignment/>
    </xf>
    <xf numFmtId="3" fontId="20" fillId="69" borderId="38" xfId="107" applyNumberFormat="1" applyFont="1" applyFill="1" applyBorder="1" applyAlignment="1">
      <alignment horizontal="left" wrapText="1"/>
      <protection/>
    </xf>
    <xf numFmtId="3" fontId="20" fillId="69" borderId="71" xfId="71" applyNumberFormat="1" applyFont="1" applyFill="1" applyBorder="1" applyAlignment="1">
      <alignment horizontal="right" wrapText="1"/>
    </xf>
    <xf numFmtId="3" fontId="19" fillId="69" borderId="38" xfId="107" applyNumberFormat="1" applyFont="1" applyFill="1" applyBorder="1" applyAlignment="1">
      <alignment horizontal="left" wrapText="1"/>
      <protection/>
    </xf>
    <xf numFmtId="3" fontId="20" fillId="69" borderId="47" xfId="71" applyNumberFormat="1" applyFont="1" applyFill="1" applyBorder="1" applyAlignment="1">
      <alignment horizontal="right"/>
    </xf>
    <xf numFmtId="3" fontId="20" fillId="69" borderId="30" xfId="71" applyNumberFormat="1" applyFont="1" applyFill="1" applyBorder="1" applyAlignment="1">
      <alignment horizontal="right"/>
    </xf>
    <xf numFmtId="0" fontId="61" fillId="69" borderId="38" xfId="0" applyFont="1" applyFill="1" applyBorder="1" applyAlignment="1">
      <alignment wrapText="1"/>
    </xf>
    <xf numFmtId="0" fontId="55" fillId="69" borderId="30" xfId="0" applyFont="1" applyFill="1" applyBorder="1" applyAlignment="1">
      <alignment wrapText="1"/>
    </xf>
    <xf numFmtId="0" fontId="20" fillId="69" borderId="30" xfId="0" applyFont="1" applyFill="1" applyBorder="1" applyAlignment="1">
      <alignment horizontal="left" vertical="center" wrapText="1"/>
    </xf>
    <xf numFmtId="0" fontId="62" fillId="69" borderId="30" xfId="111" applyFont="1" applyFill="1" applyBorder="1" applyAlignment="1" applyProtection="1">
      <alignment horizontal="left"/>
      <protection/>
    </xf>
    <xf numFmtId="3" fontId="52" fillId="69" borderId="40" xfId="71" applyNumberFormat="1" applyFont="1" applyFill="1" applyBorder="1" applyAlignment="1">
      <alignment horizontal="right"/>
    </xf>
    <xf numFmtId="3" fontId="52" fillId="69" borderId="46" xfId="71" applyNumberFormat="1" applyFont="1" applyFill="1" applyBorder="1" applyAlignment="1">
      <alignment horizontal="right"/>
    </xf>
    <xf numFmtId="3" fontId="20" fillId="69" borderId="38" xfId="0" applyNumberFormat="1" applyFont="1" applyFill="1" applyBorder="1" applyAlignment="1">
      <alignment horizontal="right"/>
    </xf>
    <xf numFmtId="3" fontId="20" fillId="69" borderId="30" xfId="0" applyNumberFormat="1" applyFont="1" applyFill="1" applyBorder="1" applyAlignment="1">
      <alignment horizontal="left" wrapText="1"/>
    </xf>
    <xf numFmtId="0" fontId="53" fillId="69" borderId="30" xfId="0" applyFont="1" applyFill="1" applyBorder="1" applyAlignment="1">
      <alignment/>
    </xf>
    <xf numFmtId="3" fontId="54" fillId="69" borderId="40" xfId="71" applyNumberFormat="1" applyFont="1" applyFill="1" applyBorder="1" applyAlignment="1">
      <alignment horizontal="right"/>
    </xf>
    <xf numFmtId="3" fontId="54" fillId="69" borderId="46" xfId="71" applyNumberFormat="1" applyFont="1" applyFill="1" applyBorder="1" applyAlignment="1">
      <alignment horizontal="right"/>
    </xf>
    <xf numFmtId="3" fontId="54" fillId="69" borderId="30" xfId="71" applyNumberFormat="1" applyFont="1" applyFill="1" applyBorder="1" applyAlignment="1">
      <alignment horizontal="right"/>
    </xf>
    <xf numFmtId="3" fontId="52" fillId="69" borderId="38" xfId="127" applyNumberFormat="1" applyFont="1" applyFill="1" applyBorder="1" applyAlignment="1">
      <alignment horizontal="left" wrapText="1"/>
      <protection/>
    </xf>
    <xf numFmtId="3" fontId="20" fillId="69" borderId="47" xfId="71" applyNumberFormat="1" applyFont="1" applyFill="1" applyBorder="1" applyAlignment="1">
      <alignment horizontal="right" wrapText="1"/>
    </xf>
    <xf numFmtId="0" fontId="40" fillId="69" borderId="30" xfId="127" applyFont="1" applyFill="1" applyBorder="1" applyAlignment="1">
      <alignment horizontal="center"/>
      <protection/>
    </xf>
    <xf numFmtId="49" fontId="20" fillId="69" borderId="30" xfId="127" applyNumberFormat="1" applyFont="1" applyFill="1" applyBorder="1" applyAlignment="1">
      <alignment horizontal="center"/>
      <protection/>
    </xf>
    <xf numFmtId="49" fontId="27" fillId="69" borderId="30" xfId="127" applyNumberFormat="1" applyFont="1" applyFill="1" applyBorder="1" applyAlignment="1">
      <alignment horizontal="center"/>
      <protection/>
    </xf>
    <xf numFmtId="49" fontId="27" fillId="69" borderId="38" xfId="127" applyNumberFormat="1" applyFont="1" applyFill="1" applyBorder="1" applyAlignment="1">
      <alignment horizontal="center"/>
      <protection/>
    </xf>
    <xf numFmtId="3" fontId="20" fillId="69" borderId="30" xfId="127" applyNumberFormat="1" applyFont="1" applyFill="1" applyBorder="1" applyAlignment="1">
      <alignment horizontal="left"/>
      <protection/>
    </xf>
    <xf numFmtId="3" fontId="20" fillId="69" borderId="30" xfId="127" applyNumberFormat="1" applyFont="1" applyFill="1" applyBorder="1" applyAlignment="1">
      <alignment horizontal="left" wrapText="1"/>
      <protection/>
    </xf>
    <xf numFmtId="0" fontId="52" fillId="69" borderId="30" xfId="0" applyFont="1" applyFill="1" applyBorder="1" applyAlignment="1">
      <alignment wrapText="1"/>
    </xf>
    <xf numFmtId="3" fontId="19" fillId="69" borderId="46" xfId="71" applyNumberFormat="1" applyFont="1" applyFill="1" applyBorder="1" applyAlignment="1">
      <alignment horizontal="right"/>
    </xf>
    <xf numFmtId="0" fontId="52" fillId="69" borderId="38" xfId="0" applyFont="1" applyFill="1" applyBorder="1" applyAlignment="1">
      <alignment wrapText="1"/>
    </xf>
    <xf numFmtId="3" fontId="20" fillId="69" borderId="30" xfId="127" applyNumberFormat="1" applyFont="1" applyFill="1" applyBorder="1" applyAlignment="1">
      <alignment horizontal="center"/>
      <protection/>
    </xf>
    <xf numFmtId="0" fontId="53" fillId="69" borderId="30" xfId="0" applyFont="1" applyFill="1" applyBorder="1" applyAlignment="1">
      <alignment horizontal="left"/>
    </xf>
    <xf numFmtId="0" fontId="63" fillId="69" borderId="30" xfId="0" applyFont="1" applyFill="1" applyBorder="1" applyAlignment="1">
      <alignment/>
    </xf>
    <xf numFmtId="4" fontId="64" fillId="69" borderId="93" xfId="0" applyNumberFormat="1" applyFont="1" applyFill="1" applyBorder="1" applyAlignment="1">
      <alignment/>
    </xf>
    <xf numFmtId="4" fontId="51" fillId="69" borderId="96" xfId="0" applyNumberFormat="1" applyFont="1" applyFill="1" applyBorder="1" applyAlignment="1">
      <alignment/>
    </xf>
    <xf numFmtId="0" fontId="52" fillId="69" borderId="38" xfId="0" applyFont="1" applyFill="1" applyBorder="1" applyAlignment="1">
      <alignment horizontal="left" wrapText="1"/>
    </xf>
    <xf numFmtId="3" fontId="19" fillId="69" borderId="52" xfId="71" applyNumberFormat="1" applyFont="1" applyFill="1" applyBorder="1" applyAlignment="1">
      <alignment horizontal="right"/>
    </xf>
    <xf numFmtId="3" fontId="19" fillId="69" borderId="90" xfId="71" applyNumberFormat="1" applyFont="1" applyFill="1" applyBorder="1" applyAlignment="1">
      <alignment horizontal="right"/>
    </xf>
    <xf numFmtId="4" fontId="26" fillId="69" borderId="50" xfId="0" applyNumberFormat="1" applyFont="1" applyFill="1" applyBorder="1" applyAlignment="1">
      <alignment/>
    </xf>
    <xf numFmtId="4" fontId="51" fillId="69" borderId="93" xfId="0" applyNumberFormat="1" applyFont="1" applyFill="1" applyBorder="1" applyAlignment="1">
      <alignment vertical="center"/>
    </xf>
    <xf numFmtId="181" fontId="40" fillId="69" borderId="50" xfId="71" applyFont="1" applyFill="1" applyBorder="1" applyAlignment="1">
      <alignment/>
    </xf>
    <xf numFmtId="4" fontId="51" fillId="69" borderId="71" xfId="0" applyNumberFormat="1" applyFont="1" applyFill="1" applyBorder="1" applyAlignment="1">
      <alignment vertical="center"/>
    </xf>
    <xf numFmtId="181" fontId="40" fillId="69" borderId="50" xfId="71" applyFont="1" applyFill="1" applyBorder="1" applyAlignment="1">
      <alignment horizontal="right"/>
    </xf>
    <xf numFmtId="4" fontId="51" fillId="69" borderId="90" xfId="0" applyNumberFormat="1" applyFont="1" applyFill="1" applyBorder="1" applyAlignment="1">
      <alignment vertical="center"/>
    </xf>
    <xf numFmtId="181" fontId="26" fillId="69" borderId="50" xfId="71" applyFont="1" applyFill="1" applyBorder="1" applyAlignment="1">
      <alignment/>
    </xf>
    <xf numFmtId="4" fontId="51" fillId="69" borderId="91" xfId="0" applyNumberFormat="1" applyFont="1" applyFill="1" applyBorder="1" applyAlignment="1">
      <alignment vertical="center"/>
    </xf>
    <xf numFmtId="181" fontId="40" fillId="69" borderId="0" xfId="71" applyFont="1" applyFill="1" applyAlignment="1">
      <alignment/>
    </xf>
    <xf numFmtId="4" fontId="51" fillId="69" borderId="30" xfId="0" applyNumberFormat="1" applyFont="1" applyFill="1" applyBorder="1" applyAlignment="1">
      <alignment vertical="center"/>
    </xf>
    <xf numFmtId="3" fontId="20" fillId="69" borderId="97" xfId="71" applyNumberFormat="1" applyFont="1" applyFill="1" applyBorder="1" applyAlignment="1">
      <alignment wrapText="1"/>
    </xf>
    <xf numFmtId="3" fontId="20" fillId="69" borderId="30" xfId="0" applyNumberFormat="1" applyFont="1" applyFill="1" applyBorder="1" applyAlignment="1">
      <alignment horizontal="right"/>
    </xf>
    <xf numFmtId="0" fontId="20" fillId="69" borderId="46" xfId="0" applyFont="1" applyFill="1" applyBorder="1" applyAlignment="1">
      <alignment wrapText="1"/>
    </xf>
    <xf numFmtId="0" fontId="52" fillId="69" borderId="98" xfId="0" applyFont="1" applyFill="1" applyBorder="1" applyAlignment="1">
      <alignment horizontal="left" wrapText="1"/>
    </xf>
    <xf numFmtId="0" fontId="19" fillId="69" borderId="99" xfId="0" applyFont="1" applyFill="1" applyBorder="1" applyAlignment="1">
      <alignment/>
    </xf>
    <xf numFmtId="0" fontId="19" fillId="69" borderId="30" xfId="0" applyFont="1" applyFill="1" applyBorder="1" applyAlignment="1">
      <alignment horizontal="right"/>
    </xf>
    <xf numFmtId="0" fontId="19" fillId="69" borderId="100" xfId="0" applyFont="1" applyFill="1" applyBorder="1" applyAlignment="1">
      <alignment horizontal="left" wrapText="1"/>
    </xf>
    <xf numFmtId="4" fontId="51" fillId="69" borderId="101" xfId="0" applyNumberFormat="1" applyFont="1" applyFill="1" applyBorder="1" applyAlignment="1">
      <alignment/>
    </xf>
    <xf numFmtId="3" fontId="19" fillId="69" borderId="102" xfId="0" applyNumberFormat="1" applyFont="1" applyFill="1" applyBorder="1" applyAlignment="1">
      <alignment horizontal="left" wrapText="1"/>
    </xf>
    <xf numFmtId="4" fontId="51" fillId="69" borderId="103" xfId="0" applyNumberFormat="1" applyFont="1" applyFill="1" applyBorder="1" applyAlignment="1">
      <alignment vertical="center"/>
    </xf>
    <xf numFmtId="4" fontId="51" fillId="69" borderId="104" xfId="0" applyNumberFormat="1" applyFont="1" applyFill="1" applyBorder="1" applyAlignment="1">
      <alignment/>
    </xf>
    <xf numFmtId="3" fontId="19" fillId="69" borderId="47" xfId="0" applyNumberFormat="1" applyFont="1" applyFill="1" applyBorder="1" applyAlignment="1">
      <alignment horizontal="left" wrapText="1"/>
    </xf>
    <xf numFmtId="4" fontId="51" fillId="69" borderId="105" xfId="0" applyNumberFormat="1" applyFont="1" applyFill="1" applyBorder="1" applyAlignment="1">
      <alignment vertical="center"/>
    </xf>
    <xf numFmtId="4" fontId="51" fillId="69" borderId="47" xfId="0" applyNumberFormat="1" applyFont="1" applyFill="1" applyBorder="1" applyAlignment="1">
      <alignment/>
    </xf>
    <xf numFmtId="0" fontId="52" fillId="69" borderId="30" xfId="0" applyFont="1" applyFill="1" applyBorder="1" applyAlignment="1">
      <alignment horizontal="left" wrapText="1"/>
    </xf>
    <xf numFmtId="3" fontId="34" fillId="69" borderId="54" xfId="126" applyNumberFormat="1" applyFont="1" applyFill="1" applyBorder="1" applyAlignment="1" applyProtection="1">
      <alignment/>
      <protection locked="0"/>
    </xf>
    <xf numFmtId="3" fontId="34" fillId="69" borderId="47" xfId="126" applyNumberFormat="1" applyFont="1" applyFill="1" applyBorder="1" applyAlignment="1" applyProtection="1">
      <alignment/>
      <protection locked="0"/>
    </xf>
    <xf numFmtId="3" fontId="34" fillId="69" borderId="30" xfId="126" applyNumberFormat="1" applyFont="1" applyFill="1" applyBorder="1" applyAlignment="1" applyProtection="1">
      <alignment/>
      <protection locked="0"/>
    </xf>
    <xf numFmtId="3" fontId="20" fillId="69" borderId="29" xfId="0" applyNumberFormat="1" applyFont="1" applyFill="1" applyBorder="1" applyAlignment="1">
      <alignment wrapText="1"/>
    </xf>
    <xf numFmtId="0" fontId="40" fillId="69" borderId="30" xfId="0" applyNumberFormat="1" applyFont="1" applyFill="1" applyBorder="1" applyAlignment="1">
      <alignment horizontal="center" wrapText="1"/>
    </xf>
    <xf numFmtId="3" fontId="20" fillId="69" borderId="30" xfId="0" applyNumberFormat="1" applyFont="1" applyFill="1" applyBorder="1" applyAlignment="1">
      <alignment horizontal="center" wrapText="1"/>
    </xf>
    <xf numFmtId="49" fontId="20" fillId="69" borderId="30" xfId="0" applyNumberFormat="1" applyFont="1" applyFill="1" applyBorder="1" applyAlignment="1">
      <alignment horizontal="center" wrapText="1"/>
    </xf>
    <xf numFmtId="49" fontId="27" fillId="69" borderId="30" xfId="0" applyNumberFormat="1" applyFont="1" applyFill="1" applyBorder="1" applyAlignment="1">
      <alignment horizontal="center" wrapText="1"/>
    </xf>
    <xf numFmtId="49" fontId="27" fillId="69" borderId="38" xfId="0" applyNumberFormat="1" applyFont="1" applyFill="1" applyBorder="1" applyAlignment="1">
      <alignment horizontal="center" wrapText="1"/>
    </xf>
    <xf numFmtId="3" fontId="20" fillId="69" borderId="30" xfId="0" applyNumberFormat="1" applyFont="1" applyFill="1" applyBorder="1" applyAlignment="1">
      <alignment horizontal="left"/>
    </xf>
    <xf numFmtId="3" fontId="19" fillId="69" borderId="38" xfId="71" applyNumberFormat="1" applyFont="1" applyFill="1" applyBorder="1" applyAlignment="1">
      <alignment horizontal="right" wrapText="1"/>
    </xf>
    <xf numFmtId="3" fontId="19" fillId="69" borderId="30" xfId="71" applyNumberFormat="1" applyFont="1" applyFill="1" applyBorder="1" applyAlignment="1">
      <alignment horizontal="right" wrapText="1"/>
    </xf>
    <xf numFmtId="0" fontId="19" fillId="69" borderId="68" xfId="0" applyFont="1" applyFill="1" applyBorder="1" applyAlignment="1">
      <alignment horizontal="center"/>
    </xf>
    <xf numFmtId="0" fontId="19" fillId="69" borderId="32" xfId="0" applyFont="1" applyFill="1" applyBorder="1" applyAlignment="1">
      <alignment horizontal="center"/>
    </xf>
    <xf numFmtId="49" fontId="19" fillId="69" borderId="32" xfId="0" applyNumberFormat="1" applyFont="1" applyFill="1" applyBorder="1" applyAlignment="1">
      <alignment horizontal="left"/>
    </xf>
    <xf numFmtId="0" fontId="38" fillId="69" borderId="106" xfId="0" applyFont="1" applyFill="1" applyBorder="1" applyAlignment="1">
      <alignment horizontal="center"/>
    </xf>
    <xf numFmtId="4" fontId="65" fillId="69" borderId="38" xfId="71" applyNumberFormat="1" applyFont="1" applyFill="1" applyBorder="1" applyAlignment="1">
      <alignment horizontal="right"/>
    </xf>
    <xf numFmtId="4" fontId="66" fillId="69" borderId="38" xfId="0" applyNumberFormat="1" applyFont="1" applyFill="1" applyBorder="1" applyAlignment="1">
      <alignment horizontal="right"/>
    </xf>
    <xf numFmtId="0" fontId="19" fillId="69" borderId="37" xfId="0" applyFont="1" applyFill="1" applyBorder="1" applyAlignment="1">
      <alignment/>
    </xf>
    <xf numFmtId="0" fontId="19" fillId="69" borderId="35" xfId="0" applyFont="1" applyFill="1" applyBorder="1" applyAlignment="1">
      <alignment/>
    </xf>
    <xf numFmtId="0" fontId="38" fillId="69" borderId="26" xfId="0" applyFont="1" applyFill="1" applyBorder="1" applyAlignment="1">
      <alignment/>
    </xf>
    <xf numFmtId="0" fontId="19" fillId="69" borderId="30" xfId="0" applyFont="1" applyFill="1" applyBorder="1" applyAlignment="1">
      <alignment/>
    </xf>
    <xf numFmtId="4" fontId="19" fillId="69" borderId="30" xfId="0" applyNumberFormat="1" applyFont="1" applyFill="1" applyBorder="1" applyAlignment="1">
      <alignment/>
    </xf>
    <xf numFmtId="0" fontId="19" fillId="69" borderId="37" xfId="0" applyFont="1" applyFill="1" applyBorder="1" applyAlignment="1">
      <alignment horizontal="center" vertical="center"/>
    </xf>
    <xf numFmtId="0" fontId="19" fillId="69" borderId="35" xfId="0" applyFont="1" applyFill="1" applyBorder="1" applyAlignment="1">
      <alignment horizontal="center" vertical="center"/>
    </xf>
    <xf numFmtId="49" fontId="19" fillId="69" borderId="35" xfId="0" applyNumberFormat="1" applyFont="1" applyFill="1" applyBorder="1" applyAlignment="1">
      <alignment horizontal="left" vertical="center"/>
    </xf>
    <xf numFmtId="0" fontId="38" fillId="69" borderId="26" xfId="0" applyFont="1" applyFill="1" applyBorder="1" applyAlignment="1">
      <alignment horizontal="center" vertical="center"/>
    </xf>
    <xf numFmtId="3" fontId="20" fillId="69" borderId="0" xfId="127" applyNumberFormat="1" applyFont="1" applyFill="1" applyBorder="1" applyAlignment="1">
      <alignment horizontal="left" vertical="center" wrapText="1"/>
      <protection/>
    </xf>
    <xf numFmtId="3" fontId="19" fillId="69" borderId="30" xfId="71" applyNumberFormat="1" applyFont="1" applyFill="1" applyBorder="1" applyAlignment="1">
      <alignment horizontal="right" vertical="center"/>
    </xf>
    <xf numFmtId="3" fontId="19" fillId="69" borderId="30" xfId="0" applyNumberFormat="1" applyFont="1" applyFill="1" applyBorder="1" applyAlignment="1">
      <alignment horizontal="right" vertical="center"/>
    </xf>
    <xf numFmtId="0" fontId="19" fillId="69" borderId="0" xfId="0" applyFont="1" applyFill="1" applyAlignment="1">
      <alignment vertical="center" wrapText="1"/>
    </xf>
    <xf numFmtId="0" fontId="36" fillId="69" borderId="107" xfId="0" applyFont="1" applyFill="1" applyBorder="1" applyAlignment="1">
      <alignment/>
    </xf>
    <xf numFmtId="0" fontId="36" fillId="69" borderId="0" xfId="0" applyFont="1" applyFill="1" applyBorder="1" applyAlignment="1">
      <alignment/>
    </xf>
    <xf numFmtId="49" fontId="24" fillId="79" borderId="29" xfId="124" applyNumberFormat="1" applyFont="1" applyFill="1" applyBorder="1" applyAlignment="1">
      <alignment horizontal="center" vertical="center" wrapText="1"/>
      <protection/>
    </xf>
    <xf numFmtId="49" fontId="40" fillId="80" borderId="30" xfId="124" applyNumberFormat="1" applyFont="1" applyFill="1" applyBorder="1" applyAlignment="1">
      <alignment horizontal="center" vertical="center" wrapText="1"/>
      <protection/>
    </xf>
    <xf numFmtId="0" fontId="40" fillId="79" borderId="38" xfId="124" applyFont="1" applyFill="1" applyBorder="1" applyAlignment="1">
      <alignment vertical="center" wrapText="1"/>
      <protection/>
    </xf>
    <xf numFmtId="4" fontId="45" fillId="79" borderId="39" xfId="0" applyNumberFormat="1" applyFont="1" applyFill="1" applyBorder="1" applyAlignment="1">
      <alignment horizontal="right" vertical="center"/>
    </xf>
    <xf numFmtId="4" fontId="45" fillId="79" borderId="0" xfId="0" applyNumberFormat="1" applyFont="1" applyFill="1" applyAlignment="1">
      <alignment horizontal="right" vertical="center"/>
    </xf>
    <xf numFmtId="4" fontId="45" fillId="79" borderId="50" xfId="0" applyNumberFormat="1" applyFont="1" applyFill="1" applyBorder="1" applyAlignment="1">
      <alignment horizontal="right" vertical="center"/>
    </xf>
    <xf numFmtId="4" fontId="27" fillId="79" borderId="43" xfId="73" applyNumberFormat="1" applyFont="1" applyFill="1" applyBorder="1" applyAlignment="1" applyProtection="1">
      <alignment horizontal="right" vertical="center" wrapText="1"/>
      <protection/>
    </xf>
    <xf numFmtId="0" fontId="36" fillId="79" borderId="0" xfId="124" applyFont="1" applyFill="1">
      <alignment/>
      <protection/>
    </xf>
    <xf numFmtId="4" fontId="67" fillId="0" borderId="0" xfId="0" applyNumberFormat="1" applyFont="1" applyAlignment="1">
      <alignment/>
    </xf>
    <xf numFmtId="0" fontId="20" fillId="69" borderId="50" xfId="0" applyFont="1" applyFill="1" applyBorder="1" applyAlignment="1">
      <alignment horizontal="left" wrapText="1"/>
    </xf>
    <xf numFmtId="3" fontId="20" fillId="69" borderId="50" xfId="127" applyNumberFormat="1" applyFont="1" applyFill="1" applyBorder="1" applyAlignment="1">
      <alignment horizontal="left" wrapText="1"/>
      <protection/>
    </xf>
    <xf numFmtId="49" fontId="20" fillId="69" borderId="30" xfId="0" applyNumberFormat="1" applyFont="1" applyFill="1" applyBorder="1" applyAlignment="1">
      <alignment horizontal="center"/>
    </xf>
    <xf numFmtId="3" fontId="20" fillId="69" borderId="50" xfId="127" applyNumberFormat="1" applyFont="1" applyFill="1" applyBorder="1" applyAlignment="1">
      <alignment horizontal="center" wrapText="1"/>
      <protection/>
    </xf>
    <xf numFmtId="3" fontId="20" fillId="69" borderId="50" xfId="127" applyNumberFormat="1" applyFont="1" applyFill="1" applyBorder="1" applyAlignment="1">
      <alignment horizontal="left" wrapText="1"/>
      <protection/>
    </xf>
    <xf numFmtId="0" fontId="20" fillId="69" borderId="30" xfId="0" applyFont="1" applyFill="1" applyBorder="1" applyAlignment="1">
      <alignment horizontal="left" wrapText="1"/>
    </xf>
    <xf numFmtId="0" fontId="20" fillId="69" borderId="38" xfId="0" applyFont="1" applyFill="1" applyBorder="1" applyAlignment="1">
      <alignment horizontal="left" wrapText="1"/>
    </xf>
    <xf numFmtId="0" fontId="20" fillId="69" borderId="30" xfId="0" applyFont="1" applyFill="1" applyBorder="1" applyAlignment="1">
      <alignment horizont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36" fillId="0" borderId="108" xfId="124" applyFont="1" applyFill="1" applyBorder="1" applyAlignment="1">
      <alignment horizontal="center"/>
      <protection/>
    </xf>
    <xf numFmtId="0" fontId="36" fillId="0" borderId="109" xfId="124" applyFont="1" applyFill="1" applyBorder="1" applyAlignment="1">
      <alignment horizontal="center"/>
      <protection/>
    </xf>
    <xf numFmtId="0" fontId="25" fillId="0" borderId="20" xfId="124" applyFont="1" applyFill="1" applyBorder="1" applyAlignment="1">
      <alignment horizontal="center" wrapText="1"/>
      <protection/>
    </xf>
    <xf numFmtId="49" fontId="24" fillId="0" borderId="20" xfId="124" applyNumberFormat="1" applyFont="1" applyFill="1" applyBorder="1" applyAlignment="1">
      <alignment horizontal="center" vertical="center" wrapText="1"/>
      <protection/>
    </xf>
    <xf numFmtId="3" fontId="101" fillId="0" borderId="108" xfId="71" applyNumberFormat="1" applyFont="1" applyFill="1" applyBorder="1" applyAlignment="1">
      <alignment horizontal="center" wrapText="1"/>
    </xf>
    <xf numFmtId="3" fontId="101" fillId="0" borderId="109" xfId="71" applyNumberFormat="1" applyFont="1" applyFill="1" applyBorder="1" applyAlignment="1">
      <alignment horizontal="center" wrapText="1"/>
    </xf>
    <xf numFmtId="0" fontId="104" fillId="78" borderId="110" xfId="0" applyFont="1" applyFill="1" applyBorder="1" applyAlignment="1">
      <alignment horizontal="center"/>
    </xf>
    <xf numFmtId="0" fontId="104" fillId="78" borderId="111" xfId="0" applyFont="1" applyFill="1" applyBorder="1" applyAlignment="1">
      <alignment horizontal="center"/>
    </xf>
    <xf numFmtId="0" fontId="103" fillId="0" borderId="112" xfId="0" applyFont="1" applyBorder="1" applyAlignment="1">
      <alignment horizontal="center"/>
    </xf>
    <xf numFmtId="0" fontId="103" fillId="0" borderId="113" xfId="0" applyFont="1" applyBorder="1" applyAlignment="1">
      <alignment horizontal="center"/>
    </xf>
    <xf numFmtId="0" fontId="104" fillId="0" borderId="114" xfId="0" applyFont="1" applyBorder="1" applyAlignment="1">
      <alignment horizontal="center"/>
    </xf>
    <xf numFmtId="0" fontId="104" fillId="0" borderId="115" xfId="0" applyFont="1" applyBorder="1" applyAlignment="1">
      <alignment horizontal="center"/>
    </xf>
    <xf numFmtId="0" fontId="104" fillId="0" borderId="110" xfId="0" applyFont="1" applyBorder="1" applyAlignment="1">
      <alignment horizontal="center"/>
    </xf>
    <xf numFmtId="0" fontId="104" fillId="0" borderId="111" xfId="0" applyFont="1" applyBorder="1" applyAlignment="1">
      <alignment horizontal="center"/>
    </xf>
    <xf numFmtId="0" fontId="96" fillId="0" borderId="20" xfId="0" applyFont="1" applyBorder="1" applyAlignment="1">
      <alignment wrapText="1"/>
    </xf>
    <xf numFmtId="0" fontId="96" fillId="78" borderId="20" xfId="0" applyFont="1" applyFill="1" applyBorder="1" applyAlignment="1">
      <alignment horizontal="center" wrapText="1"/>
    </xf>
    <xf numFmtId="0" fontId="103" fillId="0" borderId="114" xfId="0" applyFont="1" applyBorder="1" applyAlignment="1">
      <alignment horizontal="center"/>
    </xf>
    <xf numFmtId="0" fontId="103" fillId="0" borderId="115" xfId="0" applyFont="1" applyBorder="1" applyAlignment="1">
      <alignment horizontal="center"/>
    </xf>
    <xf numFmtId="0" fontId="103" fillId="0" borderId="110" xfId="0" applyFont="1" applyBorder="1" applyAlignment="1">
      <alignment horizontal="center"/>
    </xf>
    <xf numFmtId="0" fontId="103" fillId="0" borderId="111" xfId="0" applyFont="1" applyBorder="1" applyAlignment="1">
      <alignment horizontal="center"/>
    </xf>
    <xf numFmtId="0" fontId="97" fillId="0" borderId="20" xfId="0" applyFont="1" applyBorder="1" applyAlignment="1">
      <alignment wrapText="1"/>
    </xf>
    <xf numFmtId="0" fontId="97" fillId="0" borderId="20" xfId="0" applyFont="1" applyBorder="1" applyAlignment="1">
      <alignment horizontal="center"/>
    </xf>
    <xf numFmtId="0" fontId="97" fillId="69" borderId="20" xfId="0" applyFont="1" applyFill="1" applyBorder="1" applyAlignment="1">
      <alignment horizontal="right"/>
    </xf>
    <xf numFmtId="0" fontId="104" fillId="78" borderId="112" xfId="0" applyFont="1" applyFill="1" applyBorder="1" applyAlignment="1">
      <alignment horizontal="center"/>
    </xf>
    <xf numFmtId="0" fontId="104" fillId="78" borderId="113" xfId="0" applyFont="1" applyFill="1" applyBorder="1" applyAlignment="1">
      <alignment horizontal="center"/>
    </xf>
    <xf numFmtId="0" fontId="96" fillId="78" borderId="20" xfId="0" applyFont="1" applyFill="1" applyBorder="1" applyAlignment="1">
      <alignment wrapText="1"/>
    </xf>
    <xf numFmtId="0" fontId="96" fillId="69" borderId="20" xfId="0" applyFont="1" applyFill="1" applyBorder="1" applyAlignment="1">
      <alignment horizontal="right"/>
    </xf>
    <xf numFmtId="0" fontId="96" fillId="0" borderId="20" xfId="0" applyFont="1" applyBorder="1" applyAlignment="1">
      <alignment horizontal="center"/>
    </xf>
    <xf numFmtId="0" fontId="104" fillId="0" borderId="112" xfId="0" applyFont="1" applyBorder="1" applyAlignment="1">
      <alignment horizontal="center"/>
    </xf>
    <xf numFmtId="0" fontId="104" fillId="0" borderId="113" xfId="0" applyFont="1" applyBorder="1" applyAlignment="1">
      <alignment horizontal="center"/>
    </xf>
    <xf numFmtId="0" fontId="100" fillId="0" borderId="20" xfId="0" applyFont="1" applyBorder="1" applyAlignment="1">
      <alignment wrapText="1"/>
    </xf>
    <xf numFmtId="0" fontId="103" fillId="0" borderId="20" xfId="0" applyFont="1" applyBorder="1" applyAlignment="1">
      <alignment horizontal="right"/>
    </xf>
    <xf numFmtId="0" fontId="104" fillId="0" borderId="20" xfId="0" applyFont="1" applyBorder="1" applyAlignment="1">
      <alignment horizontal="center"/>
    </xf>
    <xf numFmtId="0" fontId="25" fillId="0" borderId="0" xfId="124" applyFont="1" applyBorder="1" applyAlignment="1">
      <alignment horizontal="center" wrapText="1"/>
      <protection/>
    </xf>
    <xf numFmtId="49" fontId="24" fillId="11" borderId="84" xfId="124" applyNumberFormat="1" applyFont="1" applyFill="1" applyBorder="1" applyAlignment="1">
      <alignment horizontal="center" vertical="center" wrapText="1"/>
      <protection/>
    </xf>
    <xf numFmtId="49" fontId="24" fillId="11" borderId="29" xfId="124" applyNumberFormat="1" applyFont="1" applyFill="1" applyBorder="1" applyAlignment="1">
      <alignment horizontal="center" vertical="center" wrapText="1"/>
      <protection/>
    </xf>
    <xf numFmtId="49" fontId="24" fillId="11" borderId="85" xfId="124" applyNumberFormat="1" applyFont="1" applyFill="1" applyBorder="1" applyAlignment="1">
      <alignment horizontal="center" vertical="center" wrapText="1"/>
      <protection/>
    </xf>
    <xf numFmtId="49" fontId="24" fillId="11" borderId="30" xfId="124" applyNumberFormat="1" applyFont="1" applyFill="1" applyBorder="1" applyAlignment="1">
      <alignment horizontal="center" vertical="center" wrapText="1"/>
      <protection/>
    </xf>
    <xf numFmtId="183" fontId="24" fillId="11" borderId="116" xfId="0" applyNumberFormat="1" applyFont="1" applyFill="1" applyBorder="1" applyAlignment="1">
      <alignment horizontal="center" vertical="center" wrapText="1" shrinkToFit="1"/>
    </xf>
    <xf numFmtId="183" fontId="24" fillId="11" borderId="61" xfId="0" applyNumberFormat="1" applyFont="1" applyFill="1" applyBorder="1" applyAlignment="1">
      <alignment horizontal="center" vertical="center" wrapText="1" shrinkToFit="1"/>
    </xf>
    <xf numFmtId="183" fontId="24" fillId="11" borderId="117" xfId="0" applyNumberFormat="1" applyFont="1" applyFill="1" applyBorder="1" applyAlignment="1">
      <alignment horizontal="center" vertical="center" wrapText="1" shrinkToFit="1"/>
    </xf>
    <xf numFmtId="49" fontId="27" fillId="0" borderId="0" xfId="0" applyNumberFormat="1" applyFont="1" applyBorder="1" applyAlignment="1">
      <alignment horizontal="center" vertical="center" wrapText="1"/>
    </xf>
    <xf numFmtId="0" fontId="24" fillId="11" borderId="118" xfId="107" applyFont="1" applyFill="1" applyBorder="1" applyAlignment="1">
      <alignment horizontal="center" vertical="center" wrapText="1"/>
      <protection/>
    </xf>
    <xf numFmtId="0" fontId="24" fillId="11" borderId="34" xfId="107" applyFont="1" applyFill="1" applyBorder="1" applyAlignment="1">
      <alignment horizontal="center" vertical="center" wrapText="1"/>
      <protection/>
    </xf>
    <xf numFmtId="49" fontId="27" fillId="0" borderId="0" xfId="107" applyNumberFormat="1" applyFont="1" applyBorder="1" applyAlignment="1">
      <alignment horizontal="center" vertical="center" wrapText="1"/>
      <protection/>
    </xf>
    <xf numFmtId="0" fontId="24" fillId="11" borderId="85" xfId="107" applyFont="1" applyFill="1" applyBorder="1" applyAlignment="1">
      <alignment horizontal="center" vertical="center" wrapText="1"/>
      <protection/>
    </xf>
    <xf numFmtId="0" fontId="24" fillId="11" borderId="30" xfId="107" applyFont="1" applyFill="1" applyBorder="1" applyAlignment="1">
      <alignment horizontal="center" vertical="center" wrapText="1"/>
      <protection/>
    </xf>
    <xf numFmtId="3" fontId="101" fillId="75" borderId="119" xfId="71" applyNumberFormat="1" applyFont="1" applyFill="1" applyBorder="1" applyAlignment="1">
      <alignment horizontal="center" wrapText="1"/>
    </xf>
    <xf numFmtId="3" fontId="101" fillId="75" borderId="120" xfId="71" applyNumberFormat="1" applyFont="1" applyFill="1" applyBorder="1" applyAlignment="1">
      <alignment horizontal="center" wrapText="1"/>
    </xf>
    <xf numFmtId="3" fontId="20" fillId="69" borderId="50" xfId="127" applyNumberFormat="1" applyFont="1" applyFill="1" applyBorder="1" applyAlignment="1">
      <alignment horizontal="left" wrapText="1"/>
      <protection/>
    </xf>
    <xf numFmtId="0" fontId="20" fillId="69" borderId="30" xfId="0" applyFont="1" applyFill="1" applyBorder="1" applyAlignment="1">
      <alignment horizontal="left" wrapText="1"/>
    </xf>
    <xf numFmtId="0" fontId="20" fillId="69" borderId="38" xfId="0" applyFont="1" applyFill="1" applyBorder="1" applyAlignment="1">
      <alignment horizontal="left" wrapText="1"/>
    </xf>
    <xf numFmtId="0" fontId="20" fillId="69" borderId="30" xfId="0" applyFont="1" applyFill="1" applyBorder="1" applyAlignment="1">
      <alignment horizontal="center"/>
    </xf>
    <xf numFmtId="49" fontId="20" fillId="69" borderId="30" xfId="0" applyNumberFormat="1" applyFont="1" applyFill="1" applyBorder="1" applyAlignment="1">
      <alignment horizontal="center"/>
    </xf>
    <xf numFmtId="3" fontId="20" fillId="69" borderId="50" xfId="127" applyNumberFormat="1" applyFont="1" applyFill="1" applyBorder="1" applyAlignment="1">
      <alignment horizontal="left" wrapText="1"/>
      <protection/>
    </xf>
    <xf numFmtId="0" fontId="20" fillId="69" borderId="50" xfId="0" applyFont="1" applyFill="1" applyBorder="1" applyAlignment="1">
      <alignment horizontal="center" wrapText="1"/>
    </xf>
    <xf numFmtId="0" fontId="27" fillId="69" borderId="40" xfId="0" applyFont="1" applyFill="1" applyBorder="1" applyAlignment="1">
      <alignment horizontal="center" wrapText="1"/>
    </xf>
    <xf numFmtId="0" fontId="27" fillId="69" borderId="90" xfId="0" applyFont="1" applyFill="1" applyBorder="1" applyAlignment="1">
      <alignment horizontal="center" wrapText="1"/>
    </xf>
    <xf numFmtId="0" fontId="19" fillId="69" borderId="66" xfId="0" applyFont="1" applyFill="1" applyBorder="1" applyAlignment="1">
      <alignment horizontal="center"/>
    </xf>
    <xf numFmtId="0" fontId="20" fillId="69" borderId="0" xfId="0" applyFont="1" applyFill="1" applyBorder="1" applyAlignment="1">
      <alignment horizontal="center" wrapText="1"/>
    </xf>
    <xf numFmtId="0" fontId="73" fillId="69" borderId="0" xfId="0" applyFont="1" applyFill="1" applyAlignment="1">
      <alignment/>
    </xf>
    <xf numFmtId="0" fontId="20" fillId="69" borderId="50" xfId="0" applyFont="1" applyFill="1" applyBorder="1" applyAlignment="1">
      <alignment horizontal="left" wrapText="1"/>
    </xf>
    <xf numFmtId="3" fontId="20" fillId="69" borderId="50" xfId="127" applyNumberFormat="1" applyFont="1" applyFill="1" applyBorder="1" applyAlignment="1">
      <alignment horizontal="center" wrapText="1"/>
      <protection/>
    </xf>
    <xf numFmtId="0" fontId="19" fillId="69" borderId="50" xfId="125" applyFont="1" applyFill="1" applyBorder="1" applyAlignment="1">
      <alignment horizontal="left" wrapText="1"/>
      <protection/>
    </xf>
    <xf numFmtId="0" fontId="36" fillId="69" borderId="121" xfId="0" applyFont="1" applyFill="1" applyBorder="1" applyAlignment="1">
      <alignment horizontal="center" wrapText="1"/>
    </xf>
    <xf numFmtId="0" fontId="36" fillId="69" borderId="0" xfId="0" applyFont="1" applyFill="1" applyAlignment="1">
      <alignment horizontal="center" wrapText="1"/>
    </xf>
    <xf numFmtId="0" fontId="36" fillId="69" borderId="121" xfId="0" applyFont="1" applyFill="1" applyBorder="1" applyAlignment="1">
      <alignment horizontal="center" wrapText="1"/>
    </xf>
    <xf numFmtId="0" fontId="36" fillId="69" borderId="0" xfId="0" applyFont="1" applyFill="1" applyAlignment="1">
      <alignment horizontal="center" wrapText="1"/>
    </xf>
    <xf numFmtId="0" fontId="36" fillId="69" borderId="0" xfId="0" applyFont="1" applyFill="1" applyAlignment="1">
      <alignment wrapText="1"/>
    </xf>
  </cellXfs>
  <cellStyles count="13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alculation 3" xfId="67"/>
    <cellStyle name="Calculation 4" xfId="68"/>
    <cellStyle name="Check Cell" xfId="69"/>
    <cellStyle name="Check Cell 2" xfId="70"/>
    <cellStyle name="Comma" xfId="71"/>
    <cellStyle name="Comma [0]" xfId="72"/>
    <cellStyle name="Comma 2" xfId="73"/>
    <cellStyle name="Comma 3" xfId="74"/>
    <cellStyle name="Comma 4" xfId="75"/>
    <cellStyle name="Comma 5" xfId="76"/>
    <cellStyle name="Currency" xfId="77"/>
    <cellStyle name="Currency [0]" xfId="78"/>
    <cellStyle name="Explanatory Text" xfId="79"/>
    <cellStyle name="Explanatory Text 2" xfId="80"/>
    <cellStyle name="Followed Hyperlink" xfId="81"/>
    <cellStyle name="Good" xfId="82"/>
    <cellStyle name="Good 2" xfId="83"/>
    <cellStyle name="Heading 1" xfId="84"/>
    <cellStyle name="Heading 1 2" xfId="85"/>
    <cellStyle name="Heading 2" xfId="86"/>
    <cellStyle name="Heading 2 2" xfId="87"/>
    <cellStyle name="Heading 3" xfId="88"/>
    <cellStyle name="Heading 3 2" xfId="89"/>
    <cellStyle name="Heading 4" xfId="90"/>
    <cellStyle name="Heading 4 2" xfId="91"/>
    <cellStyle name="Hyperlink" xfId="92"/>
    <cellStyle name="Input" xfId="93"/>
    <cellStyle name="Input 2" xfId="94"/>
    <cellStyle name="Input 3" xfId="95"/>
    <cellStyle name="Input 4" xfId="96"/>
    <cellStyle name="Linked Cell" xfId="97"/>
    <cellStyle name="Linked Cell 2" xfId="98"/>
    <cellStyle name="Neutral" xfId="99"/>
    <cellStyle name="Neutral 2" xfId="100"/>
    <cellStyle name="Normal 10" xfId="101"/>
    <cellStyle name="Normal 10 2" xfId="102"/>
    <cellStyle name="Normal 11" xfId="103"/>
    <cellStyle name="Normal 12" xfId="104"/>
    <cellStyle name="Normal 13" xfId="105"/>
    <cellStyle name="Normal 14" xfId="106"/>
    <cellStyle name="Normal 2" xfId="107"/>
    <cellStyle name="Normal 2 2" xfId="108"/>
    <cellStyle name="Normal 2 3" xfId="109"/>
    <cellStyle name="Normal 2 4" xfId="110"/>
    <cellStyle name="Normal 3" xfId="111"/>
    <cellStyle name="Normal 4" xfId="112"/>
    <cellStyle name="Normal 4 2" xfId="113"/>
    <cellStyle name="Normal 4_Copy of Excel matrica za izradu Odluke o budzetu B.Palanka 2015" xfId="114"/>
    <cellStyle name="Normal 5" xfId="115"/>
    <cellStyle name="Normal 5 2" xfId="116"/>
    <cellStyle name="Normal 5_Програмска активност" xfId="117"/>
    <cellStyle name="Normal 6" xfId="118"/>
    <cellStyle name="Normal 7" xfId="119"/>
    <cellStyle name="Normal 7 2" xfId="120"/>
    <cellStyle name="Normal 8" xfId="121"/>
    <cellStyle name="Normal 9" xfId="122"/>
    <cellStyle name="Normál_budzet 2003" xfId="123"/>
    <cellStyle name="Normal_Excel matrica za izradu Odluke o budzetu B.Palanka 2015" xfId="124"/>
    <cellStyle name="Normal_rashodi 1-9-09" xfId="125"/>
    <cellStyle name="Normal_rashodi ok rebalans окок" xfId="126"/>
    <cellStyle name="Normal_Расходи по корисницима" xfId="127"/>
    <cellStyle name="Note" xfId="128"/>
    <cellStyle name="Note 2" xfId="129"/>
    <cellStyle name="Note 3" xfId="130"/>
    <cellStyle name="Note 4" xfId="131"/>
    <cellStyle name="Output" xfId="132"/>
    <cellStyle name="Output 2" xfId="133"/>
    <cellStyle name="Output 3" xfId="134"/>
    <cellStyle name="Output 4" xfId="135"/>
    <cellStyle name="Percent" xfId="136"/>
    <cellStyle name="Percent 2" xfId="137"/>
    <cellStyle name="Percent 3" xfId="138"/>
    <cellStyle name="Percent 4" xfId="139"/>
    <cellStyle name="Percent 5" xfId="140"/>
    <cellStyle name="Style 1" xfId="141"/>
    <cellStyle name="Title" xfId="142"/>
    <cellStyle name="Title 2" xfId="143"/>
    <cellStyle name="Total" xfId="144"/>
    <cellStyle name="Total 2" xfId="145"/>
    <cellStyle name="Total 3" xfId="146"/>
    <cellStyle name="Total 4" xfId="147"/>
    <cellStyle name="Warning Text" xfId="148"/>
    <cellStyle name="Warning Text 2" xfId="149"/>
  </cellStyles>
  <dxfs count="7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/>
    <dxf>
      <fill>
        <patternFill patternType="solid">
          <fgColor indexed="60"/>
          <bgColor indexed="10"/>
        </patternFill>
      </fill>
    </dxf>
    <dxf>
      <fill>
        <patternFill>
          <bgColor theme="5" tint="0.5999600291252136"/>
        </patternFill>
      </fill>
    </dxf>
    <dxf/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CELNIK-FIN\Share\Users\Nacelnik\Desktop\ZaSonju\IV%20REBALANS%202016%20I%20PLAN%202017\budzet%20%202016%20sa%20rebalansima\budzet%202015%20za%20objavu\Excel%20matrica%20za%20izradu%20Odluke%20o%20budzetu%20B.Palanka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TN2\Downloads\budzet%202017%20za%20I%20i%20II%20i%20III%20,%20IV%20i%20V%20rebalans\V%20REBALANS\objava%20rebalans%204\III%20Rebalans%20Odluke%20o%20budzetu%20B.Palanka%20za%20%202017ok%20-%20Cop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DJA-PC\Users\Start%20MAC.app\ZaSonju\IZVESTAJI%202018\plate%202018\PLATE%20PL-1%20PL-2-2018%20U%20AVGUST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DJA-PC\Users\Start%20MAC.app\ZaSonju\BUDZET%20%202019\BIBLIOTEKA\Copy%20of%20Tabela%201.-Obrasci%20za%20programski%20budzet%202019%20god%20-%20verzija%20Excel%202007%20i%20noviji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rt%20MAC.app\SA%20HARD%20DISKA%2021.07.2021\ZaSonju\BUDZET%202022\IV%20REBALANS\IV%20%20REBALANS%20ODLUKE%20O%20%20BUDZETU%20%20OPSTINE%20BELA%20PALANKA%20ZA%20%202022%20GOD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џ,прим vs Расх,изд"/>
      <sheetName val="Општи део - (6)"/>
      <sheetName val="По основ. нам."/>
      <sheetName val="Расх по функц. "/>
      <sheetName val="Програмска"/>
      <sheetName val="ПО КОРИСНИЦИМА"/>
      <sheetName val="Klasifikacije"/>
    </sheetNames>
    <sheetDataSet>
      <sheetData sheetId="2">
        <row r="86">
          <cell r="E86">
            <v>572522599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џ,прим vs Расх,изд"/>
      <sheetName val="ПРИХОДИ"/>
      <sheetName val="По основ. нам."/>
      <sheetName val="Програмска"/>
      <sheetName val="ПО КОРИСНИЦИМА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_Образац 4"/>
      <sheetName val="šifrarnik"/>
      <sheetName val="ZAPOSLENI"/>
      <sheetName val="IZVOR_01"/>
      <sheetName val="IZVOR_04"/>
      <sheetName val="IZVOR_05_08"/>
      <sheetName val="IZVOR_09_12"/>
      <sheetName val="IZVOR_13_15"/>
      <sheetName val="sifarnik"/>
      <sheetName val="PRENOS_ZAP"/>
      <sheetName val="PRENOS_ISP"/>
      <sheetName val="Sheet1"/>
      <sheetName val="Sheet2"/>
    </sheetNames>
    <sheetDataSet>
      <sheetData sheetId="8">
        <row r="15">
          <cell r="A15" t="str">
            <v>јануар_01</v>
          </cell>
        </row>
        <row r="16">
          <cell r="A16" t="str">
            <v>фебруар_02</v>
          </cell>
        </row>
        <row r="17">
          <cell r="A17" t="str">
            <v>март_03</v>
          </cell>
        </row>
        <row r="18">
          <cell r="A18" t="str">
            <v>април_04</v>
          </cell>
        </row>
        <row r="19">
          <cell r="A19" t="str">
            <v>мај_05</v>
          </cell>
        </row>
        <row r="20">
          <cell r="A20" t="str">
            <v>јун_06</v>
          </cell>
        </row>
        <row r="21">
          <cell r="A21" t="str">
            <v>јул_07</v>
          </cell>
        </row>
        <row r="22">
          <cell r="A22" t="str">
            <v>август_08</v>
          </cell>
        </row>
        <row r="23">
          <cell r="A23" t="str">
            <v>септембар_09</v>
          </cell>
        </row>
        <row r="24">
          <cell r="A24" t="str">
            <v>октобар_10</v>
          </cell>
        </row>
        <row r="25">
          <cell r="A25" t="str">
            <v>новембар_11</v>
          </cell>
        </row>
        <row r="26">
          <cell r="A26" t="str">
            <v>децембар_12</v>
          </cell>
        </row>
        <row r="40">
          <cell r="A40">
            <v>1</v>
          </cell>
        </row>
        <row r="41">
          <cell r="A41">
            <v>2</v>
          </cell>
          <cell r="J41" t="str">
            <v>01</v>
          </cell>
        </row>
        <row r="42">
          <cell r="A42">
            <v>3</v>
          </cell>
          <cell r="J42" t="str">
            <v>04</v>
          </cell>
        </row>
        <row r="43">
          <cell r="A43">
            <v>4</v>
          </cell>
          <cell r="J43" t="str">
            <v>05-08</v>
          </cell>
        </row>
        <row r="44">
          <cell r="A44">
            <v>6</v>
          </cell>
          <cell r="J44" t="str">
            <v>09-12</v>
          </cell>
        </row>
        <row r="45">
          <cell r="A45">
            <v>7</v>
          </cell>
          <cell r="J45" t="str">
            <v>13-15</v>
          </cell>
        </row>
        <row r="46">
          <cell r="A46">
            <v>8</v>
          </cell>
        </row>
        <row r="47">
          <cell r="A47">
            <v>9</v>
          </cell>
        </row>
        <row r="48">
          <cell r="A48">
            <v>23</v>
          </cell>
        </row>
        <row r="49">
          <cell r="A49">
            <v>24</v>
          </cell>
          <cell r="J49" t="str">
            <v>Одлуком о буџету за 2018. годину</v>
          </cell>
        </row>
        <row r="50">
          <cell r="A50">
            <v>25</v>
          </cell>
          <cell r="J50" t="str">
            <v>Одлуком о привременом финансирању </v>
          </cell>
        </row>
        <row r="51">
          <cell r="A51">
            <v>26</v>
          </cell>
        </row>
        <row r="52">
          <cell r="A52">
            <v>27</v>
          </cell>
        </row>
        <row r="53">
          <cell r="A53">
            <v>28</v>
          </cell>
        </row>
        <row r="54">
          <cell r="A54">
            <v>29</v>
          </cell>
        </row>
        <row r="55">
          <cell r="A55">
            <v>30</v>
          </cell>
        </row>
        <row r="56">
          <cell r="A56">
            <v>31</v>
          </cell>
        </row>
        <row r="57">
          <cell r="A57">
            <v>32</v>
          </cell>
        </row>
        <row r="58">
          <cell r="A58">
            <v>33</v>
          </cell>
        </row>
        <row r="59">
          <cell r="A59">
            <v>34</v>
          </cell>
        </row>
        <row r="60">
          <cell r="A60">
            <v>35</v>
          </cell>
        </row>
        <row r="61">
          <cell r="A61">
            <v>36</v>
          </cell>
        </row>
        <row r="62">
          <cell r="A62">
            <v>37</v>
          </cell>
        </row>
        <row r="63">
          <cell r="A63">
            <v>38</v>
          </cell>
        </row>
        <row r="64">
          <cell r="A64">
            <v>39</v>
          </cell>
        </row>
        <row r="65">
          <cell r="A65">
            <v>40</v>
          </cell>
        </row>
        <row r="66">
          <cell r="A66">
            <v>41</v>
          </cell>
        </row>
        <row r="67">
          <cell r="A67">
            <v>42</v>
          </cell>
        </row>
        <row r="68">
          <cell r="A68">
            <v>43</v>
          </cell>
        </row>
        <row r="69">
          <cell r="A69">
            <v>44</v>
          </cell>
        </row>
        <row r="70">
          <cell r="A70">
            <v>45</v>
          </cell>
        </row>
        <row r="71">
          <cell r="A71">
            <v>46</v>
          </cell>
        </row>
        <row r="72">
          <cell r="A72">
            <v>48</v>
          </cell>
        </row>
        <row r="73">
          <cell r="A73">
            <v>50</v>
          </cell>
        </row>
        <row r="74">
          <cell r="A74">
            <v>51</v>
          </cell>
        </row>
        <row r="75">
          <cell r="A75">
            <v>52</v>
          </cell>
        </row>
        <row r="76">
          <cell r="A76">
            <v>53</v>
          </cell>
        </row>
        <row r="77">
          <cell r="A77">
            <v>54</v>
          </cell>
        </row>
        <row r="78">
          <cell r="A78">
            <v>55</v>
          </cell>
        </row>
        <row r="79">
          <cell r="A79">
            <v>57</v>
          </cell>
        </row>
        <row r="80">
          <cell r="A80">
            <v>58</v>
          </cell>
        </row>
        <row r="81">
          <cell r="A81">
            <v>59</v>
          </cell>
        </row>
        <row r="82">
          <cell r="A82">
            <v>59</v>
          </cell>
        </row>
        <row r="83">
          <cell r="A83">
            <v>60</v>
          </cell>
        </row>
        <row r="84">
          <cell r="A84">
            <v>61</v>
          </cell>
        </row>
        <row r="85">
          <cell r="A85">
            <v>62</v>
          </cell>
        </row>
        <row r="86">
          <cell r="A86">
            <v>63</v>
          </cell>
        </row>
        <row r="87">
          <cell r="A87">
            <v>65</v>
          </cell>
        </row>
        <row r="88">
          <cell r="A88">
            <v>66</v>
          </cell>
        </row>
        <row r="89">
          <cell r="A89">
            <v>67</v>
          </cell>
        </row>
        <row r="90">
          <cell r="A90">
            <v>68</v>
          </cell>
        </row>
        <row r="91">
          <cell r="A91">
            <v>69</v>
          </cell>
        </row>
        <row r="92">
          <cell r="A92">
            <v>72</v>
          </cell>
        </row>
        <row r="93">
          <cell r="A93">
            <v>74</v>
          </cell>
        </row>
        <row r="94">
          <cell r="A94">
            <v>75</v>
          </cell>
        </row>
        <row r="95">
          <cell r="A95">
            <v>76</v>
          </cell>
        </row>
        <row r="96">
          <cell r="A96">
            <v>77</v>
          </cell>
        </row>
        <row r="97">
          <cell r="A97">
            <v>78</v>
          </cell>
        </row>
        <row r="98">
          <cell r="A98">
            <v>79</v>
          </cell>
        </row>
        <row r="99">
          <cell r="A99">
            <v>80</v>
          </cell>
        </row>
        <row r="100">
          <cell r="A100">
            <v>81</v>
          </cell>
        </row>
        <row r="101">
          <cell r="A101">
            <v>82</v>
          </cell>
        </row>
        <row r="102">
          <cell r="A102">
            <v>83</v>
          </cell>
        </row>
        <row r="103">
          <cell r="A103">
            <v>84</v>
          </cell>
        </row>
        <row r="104">
          <cell r="A104">
            <v>85</v>
          </cell>
        </row>
        <row r="105">
          <cell r="A105">
            <v>86</v>
          </cell>
        </row>
        <row r="106">
          <cell r="A106">
            <v>87</v>
          </cell>
        </row>
        <row r="107">
          <cell r="A107">
            <v>88</v>
          </cell>
        </row>
        <row r="108">
          <cell r="A108">
            <v>89</v>
          </cell>
        </row>
        <row r="109">
          <cell r="A109">
            <v>91</v>
          </cell>
        </row>
        <row r="110">
          <cell r="A110">
            <v>92</v>
          </cell>
        </row>
        <row r="111">
          <cell r="A111">
            <v>93</v>
          </cell>
        </row>
        <row r="112">
          <cell r="A112">
            <v>94</v>
          </cell>
        </row>
        <row r="113">
          <cell r="A113">
            <v>95</v>
          </cell>
        </row>
        <row r="114">
          <cell r="A114">
            <v>96</v>
          </cell>
        </row>
        <row r="115">
          <cell r="A115">
            <v>97</v>
          </cell>
        </row>
        <row r="116">
          <cell r="A116">
            <v>98</v>
          </cell>
        </row>
        <row r="117">
          <cell r="A117">
            <v>99</v>
          </cell>
        </row>
        <row r="118">
          <cell r="A118">
            <v>100</v>
          </cell>
        </row>
        <row r="119">
          <cell r="A119">
            <v>101</v>
          </cell>
        </row>
        <row r="120">
          <cell r="A120">
            <v>102</v>
          </cell>
        </row>
        <row r="121">
          <cell r="A121">
            <v>103</v>
          </cell>
        </row>
        <row r="122">
          <cell r="A122">
            <v>104</v>
          </cell>
        </row>
        <row r="123">
          <cell r="A123">
            <v>105</v>
          </cell>
        </row>
        <row r="124">
          <cell r="A124">
            <v>107</v>
          </cell>
        </row>
        <row r="125">
          <cell r="A125">
            <v>108</v>
          </cell>
        </row>
        <row r="126">
          <cell r="A126">
            <v>109</v>
          </cell>
        </row>
        <row r="127">
          <cell r="A127">
            <v>110</v>
          </cell>
        </row>
        <row r="128">
          <cell r="A128">
            <v>111</v>
          </cell>
        </row>
        <row r="129">
          <cell r="A129">
            <v>112</v>
          </cell>
        </row>
        <row r="130">
          <cell r="A130">
            <v>113</v>
          </cell>
        </row>
        <row r="131">
          <cell r="A131">
            <v>114</v>
          </cell>
        </row>
        <row r="132">
          <cell r="A132">
            <v>115</v>
          </cell>
        </row>
        <row r="133">
          <cell r="A133">
            <v>116</v>
          </cell>
        </row>
        <row r="134">
          <cell r="A134">
            <v>117</v>
          </cell>
        </row>
        <row r="135">
          <cell r="A135">
            <v>118</v>
          </cell>
        </row>
        <row r="136">
          <cell r="A136">
            <v>119</v>
          </cell>
        </row>
        <row r="137">
          <cell r="A137">
            <v>121</v>
          </cell>
        </row>
        <row r="138">
          <cell r="A138">
            <v>201</v>
          </cell>
        </row>
        <row r="139">
          <cell r="A139">
            <v>202</v>
          </cell>
        </row>
        <row r="140">
          <cell r="A140">
            <v>203</v>
          </cell>
        </row>
        <row r="141">
          <cell r="A141">
            <v>204</v>
          </cell>
        </row>
        <row r="142">
          <cell r="A142">
            <v>205</v>
          </cell>
        </row>
        <row r="143">
          <cell r="A143">
            <v>206</v>
          </cell>
        </row>
        <row r="144">
          <cell r="A144">
            <v>207</v>
          </cell>
        </row>
        <row r="145">
          <cell r="A145">
            <v>208</v>
          </cell>
        </row>
        <row r="146">
          <cell r="A146">
            <v>209</v>
          </cell>
        </row>
        <row r="147">
          <cell r="A147">
            <v>210</v>
          </cell>
        </row>
        <row r="148">
          <cell r="A148">
            <v>211</v>
          </cell>
        </row>
        <row r="149">
          <cell r="A149">
            <v>212</v>
          </cell>
        </row>
        <row r="150">
          <cell r="A150">
            <v>213</v>
          </cell>
        </row>
        <row r="151">
          <cell r="A151">
            <v>214</v>
          </cell>
        </row>
        <row r="152">
          <cell r="A152">
            <v>215</v>
          </cell>
        </row>
        <row r="153">
          <cell r="A153">
            <v>216</v>
          </cell>
        </row>
        <row r="154">
          <cell r="A154">
            <v>217</v>
          </cell>
        </row>
        <row r="155">
          <cell r="A155">
            <v>218</v>
          </cell>
        </row>
        <row r="156">
          <cell r="A156">
            <v>219</v>
          </cell>
        </row>
        <row r="157">
          <cell r="A157">
            <v>220</v>
          </cell>
        </row>
        <row r="158">
          <cell r="A158">
            <v>221</v>
          </cell>
        </row>
        <row r="159">
          <cell r="A159">
            <v>222</v>
          </cell>
        </row>
        <row r="160">
          <cell r="A160">
            <v>224</v>
          </cell>
        </row>
        <row r="161">
          <cell r="A161">
            <v>225</v>
          </cell>
        </row>
        <row r="162">
          <cell r="A162">
            <v>226</v>
          </cell>
        </row>
        <row r="163">
          <cell r="A163">
            <v>227</v>
          </cell>
        </row>
        <row r="164">
          <cell r="A164">
            <v>228</v>
          </cell>
        </row>
        <row r="165">
          <cell r="A165">
            <v>229</v>
          </cell>
        </row>
        <row r="166">
          <cell r="A166">
            <v>230</v>
          </cell>
        </row>
        <row r="167">
          <cell r="A167">
            <v>231</v>
          </cell>
        </row>
        <row r="168">
          <cell r="A168">
            <v>232</v>
          </cell>
        </row>
        <row r="169">
          <cell r="A169">
            <v>233</v>
          </cell>
        </row>
        <row r="170">
          <cell r="A170">
            <v>234</v>
          </cell>
        </row>
        <row r="171">
          <cell r="A171">
            <v>235</v>
          </cell>
        </row>
        <row r="172">
          <cell r="A172">
            <v>236</v>
          </cell>
        </row>
        <row r="173">
          <cell r="A173">
            <v>237</v>
          </cell>
        </row>
        <row r="174">
          <cell r="A174">
            <v>238</v>
          </cell>
        </row>
        <row r="175">
          <cell r="A175">
            <v>239</v>
          </cell>
        </row>
        <row r="176">
          <cell r="A176">
            <v>240</v>
          </cell>
        </row>
        <row r="177">
          <cell r="A177">
            <v>241</v>
          </cell>
        </row>
        <row r="178">
          <cell r="A178">
            <v>242</v>
          </cell>
        </row>
        <row r="179">
          <cell r="A179">
            <v>243</v>
          </cell>
        </row>
        <row r="180">
          <cell r="A180">
            <v>244</v>
          </cell>
        </row>
        <row r="181">
          <cell r="A181">
            <v>250</v>
          </cell>
        </row>
        <row r="182">
          <cell r="A182">
            <v>310</v>
          </cell>
        </row>
        <row r="183">
          <cell r="A183">
            <v>311</v>
          </cell>
        </row>
        <row r="184">
          <cell r="A184">
            <v>324</v>
          </cell>
        </row>
        <row r="185">
          <cell r="A185">
            <v>326</v>
          </cell>
        </row>
        <row r="186">
          <cell r="A186">
            <v>330</v>
          </cell>
        </row>
        <row r="187">
          <cell r="A187">
            <v>501</v>
          </cell>
        </row>
        <row r="188">
          <cell r="A188">
            <v>511</v>
          </cell>
        </row>
        <row r="189">
          <cell r="A189">
            <v>521</v>
          </cell>
        </row>
        <row r="190">
          <cell r="A190">
            <v>531</v>
          </cell>
        </row>
        <row r="191">
          <cell r="A191">
            <v>581</v>
          </cell>
        </row>
        <row r="200">
          <cell r="A200" t="str">
            <v>јануар_01_Први део плате</v>
          </cell>
        </row>
        <row r="201">
          <cell r="A201" t="str">
            <v>јануар_01_Други део плате</v>
          </cell>
        </row>
        <row r="202">
          <cell r="A202" t="str">
            <v>јануар_01_Коначна исплата</v>
          </cell>
        </row>
        <row r="203">
          <cell r="A203" t="str">
            <v>фебруар_02_Први део плате</v>
          </cell>
        </row>
        <row r="204">
          <cell r="A204" t="str">
            <v>фебруар_02_Други део плате</v>
          </cell>
        </row>
        <row r="205">
          <cell r="A205" t="str">
            <v>фебруар_02_Коначна исплата</v>
          </cell>
        </row>
        <row r="206">
          <cell r="A206" t="str">
            <v>март_03_Први део плате</v>
          </cell>
        </row>
        <row r="207">
          <cell r="A207" t="str">
            <v>март_03_Други део плате</v>
          </cell>
        </row>
        <row r="208">
          <cell r="A208" t="str">
            <v>март_03_Коначна исплата</v>
          </cell>
        </row>
        <row r="209">
          <cell r="A209" t="str">
            <v>април_04_Први део плате</v>
          </cell>
        </row>
        <row r="210">
          <cell r="A210" t="str">
            <v>април_04_Други део плате</v>
          </cell>
        </row>
        <row r="211">
          <cell r="A211" t="str">
            <v>април_04_Коначна исплата</v>
          </cell>
        </row>
        <row r="212">
          <cell r="A212" t="str">
            <v>мај_05_Први део плате</v>
          </cell>
        </row>
        <row r="213">
          <cell r="A213" t="str">
            <v>мај_05_Други део плате</v>
          </cell>
        </row>
        <row r="214">
          <cell r="A214" t="str">
            <v>мај_05_Коначна исплата</v>
          </cell>
        </row>
        <row r="215">
          <cell r="A215" t="str">
            <v>јун_06_Први део плате</v>
          </cell>
        </row>
        <row r="216">
          <cell r="A216" t="str">
            <v>јун_06_Други део плате</v>
          </cell>
        </row>
        <row r="217">
          <cell r="A217" t="str">
            <v>јун_06_Коначна исплата</v>
          </cell>
        </row>
        <row r="218">
          <cell r="A218" t="str">
            <v>јул_07_Први део плате</v>
          </cell>
        </row>
        <row r="219">
          <cell r="A219" t="str">
            <v>јул_07_Други део плате</v>
          </cell>
        </row>
        <row r="220">
          <cell r="A220" t="str">
            <v>јул_07_Коначна исплата</v>
          </cell>
        </row>
        <row r="221">
          <cell r="A221" t="str">
            <v>август_08_Први део плате</v>
          </cell>
        </row>
        <row r="222">
          <cell r="A222" t="str">
            <v>август_08_Други део плате</v>
          </cell>
        </row>
        <row r="223">
          <cell r="A223" t="str">
            <v>август_08_Коначна исплата</v>
          </cell>
        </row>
        <row r="224">
          <cell r="A224" t="str">
            <v>септембар_09_Први део плате</v>
          </cell>
        </row>
        <row r="225">
          <cell r="A225" t="str">
            <v>септембар_09_Други део плате</v>
          </cell>
        </row>
        <row r="226">
          <cell r="A226" t="str">
            <v>септембар_09_Коначна исплата</v>
          </cell>
        </row>
        <row r="227">
          <cell r="A227" t="str">
            <v>октобар_10_Први део плате</v>
          </cell>
        </row>
        <row r="228">
          <cell r="A228" t="str">
            <v>октобар_10_Други део плате</v>
          </cell>
        </row>
        <row r="229">
          <cell r="A229" t="str">
            <v>октобар_10_Коначна исплата</v>
          </cell>
        </row>
        <row r="230">
          <cell r="A230" t="str">
            <v>новембар_11_Први део плате</v>
          </cell>
        </row>
        <row r="231">
          <cell r="A231" t="str">
            <v>новембар_11_Други део плате</v>
          </cell>
        </row>
        <row r="232">
          <cell r="A232" t="str">
            <v>новембар_11_Коначна исплата</v>
          </cell>
        </row>
        <row r="233">
          <cell r="A233" t="str">
            <v>децембар_12_Први део плате</v>
          </cell>
        </row>
        <row r="234">
          <cell r="A234" t="str">
            <v>децембар_12_Други део плате</v>
          </cell>
        </row>
        <row r="235">
          <cell r="A235" t="str">
            <v>децембар_12_Коначна исплата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IJA I KRETANJE PLATA"/>
      <sheetName val=" Преглед капит. пројеката"/>
      <sheetName val="Програм"/>
      <sheetName val="Програмска активност (2)"/>
      <sheetName val="Програмска активност"/>
      <sheetName val="Пројекат"/>
      <sheetName val="Упутство"/>
    </sheetNames>
    <sheetDataSet>
      <sheetData sheetId="6">
        <row r="1">
          <cell r="CO1" t="str">
            <v>0 - СОЦИЈАЛНА ЗАШТИТА</v>
          </cell>
        </row>
        <row r="2">
          <cell r="CO2" t="str">
            <v>10 - Болест и инвалидност</v>
          </cell>
          <cell r="CX2" t="str">
            <v>01 - Приходи из буџета</v>
          </cell>
        </row>
        <row r="3">
          <cell r="CO3" t="str">
            <v>20 - Старост</v>
          </cell>
          <cell r="CX3" t="str">
            <v>02 - Трансфери између корисника на истом нивоу</v>
          </cell>
        </row>
        <row r="4">
          <cell r="CO4" t="str">
            <v>30 - Корисници породичне пензије</v>
          </cell>
          <cell r="CX4" t="str">
            <v>03 - Социјални доприноси</v>
          </cell>
        </row>
        <row r="5">
          <cell r="CO5" t="str">
            <v>40 - Породица и деца</v>
          </cell>
          <cell r="CX5" t="str">
            <v>04 - Сопствени приходи буџетских корисника</v>
          </cell>
        </row>
        <row r="6">
          <cell r="CO6" t="str">
            <v>50 - Незапосленост</v>
          </cell>
          <cell r="CX6" t="str">
            <v>05 - Донације од иностраних земаља</v>
          </cell>
        </row>
        <row r="7">
          <cell r="CO7" t="str">
            <v>60 - Становање</v>
          </cell>
          <cell r="CX7" t="str">
            <v>06 - Донације од међународних организација</v>
          </cell>
        </row>
        <row r="8">
          <cell r="CO8" t="str">
            <v>70 - Социјална помоћ угроженом становништву, некласификована на другом месту</v>
          </cell>
          <cell r="CX8" t="str">
            <v>07 - Трансфери од других нивоа власти</v>
          </cell>
        </row>
        <row r="9">
          <cell r="CO9" t="str">
            <v>80 - Социјална заштита -  истраживање и развој</v>
          </cell>
          <cell r="CX9" t="str">
            <v>08 - Добровољни трансфери од физичких и правних лица</v>
          </cell>
        </row>
        <row r="10">
          <cell r="CO10" t="str">
            <v>90 - Социјална заштита некласификована на другом месту</v>
          </cell>
          <cell r="CX10" t="str">
            <v>09 - Примања од продаје нефинансијске имовине</v>
          </cell>
        </row>
        <row r="11">
          <cell r="CO11" t="str">
            <v>100 - ОПШТЕ ЈАВНЕ УСЛУГЕ</v>
          </cell>
          <cell r="CX11" t="str">
            <v>10 - Примања од домаћих задуживања</v>
          </cell>
        </row>
        <row r="12">
          <cell r="CO12" t="str">
            <v>110 - Извршни и законодавни органи, финансијски и фискални послови и спољни послови</v>
          </cell>
          <cell r="CX12" t="str">
            <v>11 - Примања од иностраних задуживања</v>
          </cell>
        </row>
        <row r="13">
          <cell r="CO13" t="str">
            <v>111 - Извршни и законодавни органи</v>
          </cell>
          <cell r="CX13" t="str">
            <v>12 - Примања од отплате датих кредита и продаје финансијске имовине</v>
          </cell>
        </row>
        <row r="14">
          <cell r="CO14" t="str">
            <v>112 - Финансијски и фискални послови</v>
          </cell>
          <cell r="CX14" t="str">
            <v>13 - Нераспоређени вишак прихода из ранијих година</v>
          </cell>
        </row>
        <row r="15">
          <cell r="CO15" t="str">
            <v>113 - Спољни послови</v>
          </cell>
          <cell r="CX15" t="str">
            <v>14 - Неутрошена средства од приватизације из ранијих година</v>
          </cell>
        </row>
        <row r="16">
          <cell r="CO16" t="str">
            <v>120 - Економска помоћ иностранству</v>
          </cell>
          <cell r="CX16" t="str">
            <v>15 - Неутрошена средства донација из ранијих година</v>
          </cell>
        </row>
        <row r="17">
          <cell r="CO17" t="str">
            <v>121 - Економска помоћ земљама у развоју и земљама у транзицији</v>
          </cell>
          <cell r="CX17" t="str">
            <v>16 - Родитељски динар за ваннаставне активности</v>
          </cell>
        </row>
        <row r="18">
          <cell r="CO18" t="str">
            <v>122 - Економска помоћ преко међународних организација</v>
          </cell>
          <cell r="CX18" t="str">
            <v>56 - Финансијска помоћ ЕУ</v>
          </cell>
        </row>
        <row r="19">
          <cell r="CO19" t="str">
            <v>130 - Опште услуге</v>
          </cell>
        </row>
        <row r="20">
          <cell r="CO20" t="str">
            <v>131 - Опште кадровске услуге</v>
          </cell>
        </row>
        <row r="21">
          <cell r="CO21" t="str">
            <v>132 - Опште услуге планирања и статистике</v>
          </cell>
        </row>
        <row r="22">
          <cell r="CO22" t="str">
            <v>133 - Остале опште услуге</v>
          </cell>
        </row>
        <row r="23">
          <cell r="CO23" t="str">
            <v>150 - Опште јавне услуге -  истраживање и развој</v>
          </cell>
        </row>
        <row r="24">
          <cell r="CO24" t="str">
            <v>160 - Опште јавне услуге некласификоване на другом месту</v>
          </cell>
        </row>
        <row r="25">
          <cell r="CO25" t="str">
            <v>170 - Трансакције јавног  дуга</v>
          </cell>
        </row>
        <row r="26">
          <cell r="CO26" t="str">
            <v>180 - Трансфери општег карактера између различитих нивоа власти</v>
          </cell>
        </row>
        <row r="27">
          <cell r="CO27" t="str">
            <v>200 - ОДБРАНА</v>
          </cell>
        </row>
        <row r="28">
          <cell r="CO28" t="str">
            <v>210 - Војна одбрана</v>
          </cell>
        </row>
        <row r="29">
          <cell r="CO29" t="str">
            <v>220 - Цивилна одбрана</v>
          </cell>
        </row>
        <row r="30">
          <cell r="CO30" t="str">
            <v>240 - Одбрана - истраживање и развој</v>
          </cell>
        </row>
        <row r="31">
          <cell r="CO31" t="str">
            <v>250 - Одбрана некласификована на другом месту</v>
          </cell>
        </row>
        <row r="32">
          <cell r="CO32" t="str">
            <v>300 - ЈАВНИ РЕД И БЕЗБЕДНОСТ</v>
          </cell>
        </row>
        <row r="33">
          <cell r="CO33" t="str">
            <v>310 - Услуге полиције</v>
          </cell>
        </row>
        <row r="34">
          <cell r="CO34" t="str">
            <v>320 - Услуге противпожарне заштите</v>
          </cell>
        </row>
        <row r="35">
          <cell r="CO35" t="str">
            <v>330 - Судови</v>
          </cell>
        </row>
        <row r="36">
          <cell r="CO36" t="str">
            <v>350 - Јавни ред и безбедност - истраживање и развој</v>
          </cell>
        </row>
        <row r="37">
          <cell r="CO37" t="str">
            <v>360 - Јавни ред и безбедност  некласификован на другом месту</v>
          </cell>
        </row>
        <row r="38">
          <cell r="B38" t="str">
            <v>Програм 1.  Урбанизам и просторно планирање</v>
          </cell>
          <cell r="CO38" t="str">
            <v>400 - ЕКОНОМСКИ ПОСЛОВИ</v>
          </cell>
        </row>
        <row r="39">
          <cell r="B39" t="str">
            <v>Програм 2.  Комуналне делатности</v>
          </cell>
          <cell r="CO39" t="str">
            <v>410 - Општи економски и комерцијални послови и послови по питању рада</v>
          </cell>
        </row>
        <row r="40">
          <cell r="B40" t="str">
            <v>Програм 3.  Локални економски развој</v>
          </cell>
          <cell r="CO40" t="str">
            <v>411 - Општи економски и комерцијални послови</v>
          </cell>
        </row>
        <row r="41">
          <cell r="B41" t="str">
            <v>Програм 4.  Развој туризма</v>
          </cell>
          <cell r="CO41" t="str">
            <v>412 - Општи послови по питању рада</v>
          </cell>
        </row>
        <row r="42">
          <cell r="B42" t="str">
            <v>Програм 5.  Развој пољопривреде</v>
          </cell>
          <cell r="CO42" t="str">
            <v>420 - Пољопривреда, шумарство, лов и риболов</v>
          </cell>
        </row>
        <row r="43">
          <cell r="B43" t="str">
            <v>Програм 6.  Заштита животне средине</v>
          </cell>
          <cell r="CO43" t="str">
            <v>421 - Пољопривреда</v>
          </cell>
        </row>
        <row r="44">
          <cell r="B44" t="str">
            <v>Програм 7.  Организација саобраћаја и саобраћајна инфраструктура</v>
          </cell>
          <cell r="CO44" t="str">
            <v>422 - Шумарство</v>
          </cell>
        </row>
        <row r="45">
          <cell r="B45" t="str">
            <v>Програм 8.  Предшколско васпитање</v>
          </cell>
          <cell r="CO45" t="str">
            <v>423 - Лов и риболов</v>
          </cell>
        </row>
        <row r="46">
          <cell r="B46" t="str">
            <v>Програм 9.  Основно образовање</v>
          </cell>
          <cell r="CO46" t="str">
            <v>430 - Гориво и енергија</v>
          </cell>
        </row>
        <row r="47">
          <cell r="B47" t="str">
            <v>Програм 10.  Средње образовање</v>
          </cell>
          <cell r="CO47" t="str">
            <v>431 - Угаљ и остала чврста минерална горива</v>
          </cell>
        </row>
        <row r="48">
          <cell r="B48" t="str">
            <v>Програм 11.  Социјална и дечја заштита</v>
          </cell>
          <cell r="CO48" t="str">
            <v>432 - Нафта и природни гас</v>
          </cell>
        </row>
        <row r="49">
          <cell r="B49" t="str">
            <v>Програм 12.  Примарна здравствена заштита</v>
          </cell>
          <cell r="CO49" t="str">
            <v>433 - Нуклеарно гориво</v>
          </cell>
        </row>
        <row r="50">
          <cell r="B50" t="str">
            <v>Програм 13.  Развој културе</v>
          </cell>
          <cell r="CO50" t="str">
            <v>434 - Остала горива</v>
          </cell>
        </row>
        <row r="51">
          <cell r="B51" t="str">
            <v>Програм 14.  Развој спорта и омладине</v>
          </cell>
          <cell r="CO51" t="str">
            <v>435 - Електрична енергија</v>
          </cell>
        </row>
        <row r="52">
          <cell r="B52" t="str">
            <v>Програм 15.  Опште услуге локалне самоуправе</v>
          </cell>
          <cell r="CO52" t="str">
            <v>436 - Остала енергија</v>
          </cell>
        </row>
        <row r="53">
          <cell r="B53" t="str">
            <v>Програм 16.  Политички систем локалне самоуправе</v>
          </cell>
          <cell r="CO53" t="str">
            <v>440 - Рударство, производња и изградња</v>
          </cell>
        </row>
        <row r="54">
          <cell r="B54" t="str">
            <v>Програм 17.  Енергетска ефикасност</v>
          </cell>
          <cell r="CO54" t="str">
            <v>441 - Ископавање минералних ресурса, изузев минералних горива</v>
          </cell>
        </row>
        <row r="55">
          <cell r="CO55" t="str">
            <v>442 - Производња</v>
          </cell>
        </row>
        <row r="56">
          <cell r="CO56" t="str">
            <v>443 - Изградња</v>
          </cell>
        </row>
        <row r="57">
          <cell r="CO57" t="str">
            <v>450 - Саобраћај</v>
          </cell>
        </row>
        <row r="58">
          <cell r="CO58" t="str">
            <v>451 - Друмски саобраћај</v>
          </cell>
        </row>
        <row r="59">
          <cell r="CO59" t="str">
            <v>452 - Водени саобраћај</v>
          </cell>
        </row>
        <row r="60">
          <cell r="CO60" t="str">
            <v>453 - Железнички саобраћај</v>
          </cell>
        </row>
        <row r="61">
          <cell r="CO61" t="str">
            <v>454 - Ваздушни саобраћај</v>
          </cell>
        </row>
        <row r="62">
          <cell r="CO62" t="str">
            <v>455 - Цевоводи и други облици саобраћаја</v>
          </cell>
        </row>
        <row r="63">
          <cell r="CO63" t="str">
            <v>460 - Комуникације</v>
          </cell>
        </row>
        <row r="64">
          <cell r="CO64" t="str">
            <v>470 - Остале делатности</v>
          </cell>
        </row>
        <row r="65">
          <cell r="CO65" t="str">
            <v>471 - Трговина, смештај и складиштење</v>
          </cell>
        </row>
        <row r="66">
          <cell r="CO66" t="str">
            <v>472 - Хотели и ресторани</v>
          </cell>
        </row>
        <row r="67">
          <cell r="CO67" t="str">
            <v>473 - Туризам</v>
          </cell>
        </row>
        <row r="68">
          <cell r="CO68" t="str">
            <v>474 - Вишенаменски развојни пројекти</v>
          </cell>
        </row>
        <row r="69">
          <cell r="CO69" t="str">
            <v>480 - Економски послови -  истраживање и развој</v>
          </cell>
        </row>
        <row r="70">
          <cell r="CO70" t="str">
            <v>481 - Истраживање и развој - Општи економски и комерцијални послови и послови по питању рада</v>
          </cell>
        </row>
        <row r="71">
          <cell r="CO71" t="str">
            <v>482 - Истраживање и развој - Пољопривреда, шумарство, лов и риболов</v>
          </cell>
        </row>
        <row r="72">
          <cell r="CO72" t="str">
            <v>483 - Истраживање и развој - Гориво и енергија</v>
          </cell>
        </row>
        <row r="73">
          <cell r="CO73" t="str">
            <v>484 - Истраживање и развој - Рударство, производња и изградња</v>
          </cell>
        </row>
        <row r="74">
          <cell r="CO74" t="str">
            <v>485 - Истраживање и развој - Саобраћај</v>
          </cell>
        </row>
        <row r="75">
          <cell r="CO75" t="str">
            <v>486 - Истраживање и развој - Комуникације</v>
          </cell>
        </row>
        <row r="76">
          <cell r="CO76" t="str">
            <v>487 - Истраживање и развој - Остале делатности</v>
          </cell>
        </row>
        <row r="77">
          <cell r="CO77" t="str">
            <v>490 - Економски послови некласификовани на другом месту</v>
          </cell>
        </row>
        <row r="78">
          <cell r="CO78" t="str">
            <v>500 - ЗАШТИТА ЖИВОТНЕ СРЕДИНЕ</v>
          </cell>
        </row>
        <row r="79">
          <cell r="CO79" t="str">
            <v>510 - Управљање отпадом</v>
          </cell>
        </row>
        <row r="80">
          <cell r="CO80" t="str">
            <v>520 - Управљање отпадним водама</v>
          </cell>
        </row>
        <row r="81">
          <cell r="CO81" t="str">
            <v>530 - Смањење загађености</v>
          </cell>
        </row>
        <row r="82">
          <cell r="CO82" t="str">
            <v>540 - Заштита биљног и животињског света  и крајолика</v>
          </cell>
        </row>
        <row r="83">
          <cell r="CO83" t="str">
            <v>550 - Заштита животне средине -  истраживање и развој</v>
          </cell>
        </row>
        <row r="84">
          <cell r="CO84" t="str">
            <v>560 - Заштита животне средине некласификована на другом месту</v>
          </cell>
        </row>
        <row r="85">
          <cell r="CO85" t="str">
            <v>600 - ПОСЛОВИ СТАНОВАЊА И  ЗАЈЕДНИЦЕ</v>
          </cell>
        </row>
        <row r="86">
          <cell r="CO86" t="str">
            <v>610 - Стамбени развој</v>
          </cell>
        </row>
        <row r="87">
          <cell r="CO87" t="str">
            <v>620 - Развој заједнице</v>
          </cell>
        </row>
        <row r="88">
          <cell r="CO88" t="str">
            <v>630 - Водоснабдевање</v>
          </cell>
        </row>
        <row r="89">
          <cell r="CO89" t="str">
            <v>640 - Улична расвета</v>
          </cell>
        </row>
        <row r="90">
          <cell r="CO90" t="str">
            <v>650 - Послови становања и заједнице - истраживање и развој</v>
          </cell>
        </row>
        <row r="91">
          <cell r="CO91" t="str">
            <v>660 - Послови становања и заједнице некласификовани на другом месту</v>
          </cell>
        </row>
        <row r="92">
          <cell r="CO92" t="str">
            <v>700 - ЗДРАВСТВО</v>
          </cell>
        </row>
        <row r="93">
          <cell r="CO93" t="str">
            <v>710 - Медицински производи, помагала и опрема</v>
          </cell>
        </row>
        <row r="94">
          <cell r="CO94" t="str">
            <v>711 - Фармацеутски производи</v>
          </cell>
        </row>
        <row r="95">
          <cell r="CO95" t="str">
            <v>712 - Остали медицински производи</v>
          </cell>
        </row>
        <row r="96">
          <cell r="CO96" t="str">
            <v>713 - Терапеутска помагала и опрема</v>
          </cell>
        </row>
        <row r="97">
          <cell r="CO97" t="str">
            <v>720 - Ванболничке услуге</v>
          </cell>
        </row>
        <row r="98">
          <cell r="CO98" t="str">
            <v>721 - Опште медицинске услуге</v>
          </cell>
        </row>
        <row r="99">
          <cell r="CO99" t="str">
            <v>722 - Специјализоване медицинске услуге</v>
          </cell>
        </row>
        <row r="100">
          <cell r="CO100" t="str">
            <v>723 - Стоматолошке услуге</v>
          </cell>
        </row>
        <row r="101">
          <cell r="CO101" t="str">
            <v>724 - Парамедицинске услуге</v>
          </cell>
        </row>
        <row r="102">
          <cell r="CO102" t="str">
            <v>730 - Болничке услуге</v>
          </cell>
        </row>
        <row r="103">
          <cell r="CO103" t="str">
            <v>731 - Опште болничке услуге</v>
          </cell>
        </row>
        <row r="104">
          <cell r="CO104" t="str">
            <v>732 - Специјализоване болничке услуге</v>
          </cell>
        </row>
        <row r="105">
          <cell r="CO105" t="str">
            <v>733 - Услуге медицинских центара и породилишта</v>
          </cell>
        </row>
        <row r="106">
          <cell r="CO106" t="str">
            <v>734 - Услуге домова  за негу и опоравак</v>
          </cell>
        </row>
        <row r="107">
          <cell r="CO107" t="str">
            <v>740 - Услуге јавног здравства</v>
          </cell>
        </row>
        <row r="108">
          <cell r="CO108" t="str">
            <v>750 - Здравство  истраживање и развој</v>
          </cell>
        </row>
        <row r="109">
          <cell r="CO109" t="str">
            <v>760 - Здравство некласификовано на другом месту</v>
          </cell>
        </row>
        <row r="110">
          <cell r="CO110" t="str">
            <v>800 - РЕКРЕАЦИЈА, СПОРТ, КУЛТУРА И ВЕРЕ</v>
          </cell>
        </row>
        <row r="111">
          <cell r="CO111" t="str">
            <v>810 - Услуге рекреације и спорта</v>
          </cell>
        </row>
        <row r="112">
          <cell r="CO112" t="str">
            <v>820 - Услуге културе</v>
          </cell>
        </row>
        <row r="113">
          <cell r="CO113" t="str">
            <v>830 - Услуге емитовања и штампања</v>
          </cell>
        </row>
        <row r="114">
          <cell r="CO114" t="str">
            <v>840 - Верске  и остале услуге заједнице</v>
          </cell>
        </row>
        <row r="115">
          <cell r="CO115" t="str">
            <v>850 - Рекреација, спорт, култура и вере  - истраживање и развој</v>
          </cell>
        </row>
        <row r="116">
          <cell r="CO116" t="str">
            <v>860 - Рекреација, спорт, култура и вере, некласификовано на другом месту</v>
          </cell>
        </row>
        <row r="117">
          <cell r="CO117" t="str">
            <v>900 - ОБРАЗОВАЊЕ</v>
          </cell>
        </row>
        <row r="118">
          <cell r="CO118" t="str">
            <v>910 - Предшколско и основно образовање</v>
          </cell>
        </row>
        <row r="119">
          <cell r="CO119" t="str">
            <v>911 - Предшколско образовање</v>
          </cell>
        </row>
        <row r="120">
          <cell r="CO120" t="str">
            <v>912 - Основно образовање</v>
          </cell>
        </row>
        <row r="121">
          <cell r="CO121" t="str">
            <v>913 - Основно образовање са домом ученика</v>
          </cell>
        </row>
        <row r="122">
          <cell r="CO122" t="str">
            <v>914 - Основно образовање са средњом школом</v>
          </cell>
        </row>
        <row r="123">
          <cell r="CO123" t="str">
            <v>915 - Специјално основно образовање</v>
          </cell>
        </row>
        <row r="124">
          <cell r="CO124" t="str">
            <v>916 - Основно образовање са средњом школом и домом ученика</v>
          </cell>
        </row>
        <row r="125">
          <cell r="CO125" t="str">
            <v>920 - Средње образовање</v>
          </cell>
        </row>
        <row r="126">
          <cell r="CO126" t="str">
            <v>921 - Ниже средње образовање</v>
          </cell>
        </row>
        <row r="127">
          <cell r="CO127" t="str">
            <v>922 - Више средње образовање</v>
          </cell>
        </row>
        <row r="128">
          <cell r="CO128" t="str">
            <v>923 - Средње образовање са домом ученика</v>
          </cell>
        </row>
        <row r="129">
          <cell r="CO129" t="str">
            <v>930 - Више образовање</v>
          </cell>
        </row>
        <row r="130">
          <cell r="CO130" t="str">
            <v>931 - Више образовање</v>
          </cell>
        </row>
        <row r="131">
          <cell r="CO131" t="str">
            <v>932 - Више образовање са студентским домом</v>
          </cell>
        </row>
        <row r="132">
          <cell r="CO132" t="str">
            <v>940 - Високо образовање</v>
          </cell>
        </row>
        <row r="133">
          <cell r="CO133" t="str">
            <v>941 - Високо образовање - први степен</v>
          </cell>
        </row>
        <row r="134">
          <cell r="CO134" t="str">
            <v>942 - Високо образовање -  други степен</v>
          </cell>
        </row>
        <row r="135">
          <cell r="CO135" t="str">
            <v>950 - Образовање које није дефинисано нивоом</v>
          </cell>
        </row>
        <row r="136">
          <cell r="CO136" t="str">
            <v>960 - Помоћне услуге образовању</v>
          </cell>
        </row>
        <row r="137">
          <cell r="CO137" t="str">
            <v>970 - Образовање -  истраживање и развој</v>
          </cell>
        </row>
        <row r="138">
          <cell r="CO138" t="str">
            <v>980 - Образовање некласификовано на другом месту</v>
          </cell>
        </row>
        <row r="157">
          <cell r="D157" t="str">
            <v>Максимална могућа покривеност корисника и територије услугама уклањања отпадних вода</v>
          </cell>
          <cell r="E157" t="str">
            <v>Адекватан квалитет пружених услуга одвођења отпадних вода</v>
          </cell>
          <cell r="F157" t="str">
            <v>Ефикасно и рационално спровођење уклањања отпадних вода и минималан негативан утицај на животну средину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риџ,прим vs Расх,изд"/>
      <sheetName val="ПО КОРИСНИЦИМА SO"/>
      <sheetName val="ПО КОРИСНИЦИМА OV"/>
      <sheetName val="ПО КОРИСНИЦИМА PREDSEN"/>
      <sheetName val="ПО КОРИСНИЦИМА OU"/>
      <sheetName val="ПРИХОДИ"/>
      <sheetName val="По основ. нам."/>
      <sheetName val="Програмска"/>
      <sheetName val="ПО КОРИСНИЦИМА"/>
      <sheetName val="RACUN FINANSIRANJA"/>
      <sheetName val="obrazovanje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D3" sqref="D3"/>
    </sheetView>
  </sheetViews>
  <sheetFormatPr defaultColWidth="9.140625" defaultRowHeight="15"/>
  <cols>
    <col min="2" max="2" width="58.8515625" style="0" customWidth="1"/>
    <col min="3" max="3" width="16.57421875" style="0" customWidth="1"/>
    <col min="4" max="4" width="13.28125" style="0" customWidth="1"/>
    <col min="5" max="5" width="15.140625" style="0" customWidth="1"/>
    <col min="6" max="6" width="11.57421875" style="0" customWidth="1"/>
  </cols>
  <sheetData>
    <row r="1" spans="1:6" ht="42.75">
      <c r="A1" s="9" t="s">
        <v>14</v>
      </c>
      <c r="B1" s="10" t="s">
        <v>15</v>
      </c>
      <c r="C1" s="10" t="s">
        <v>16</v>
      </c>
      <c r="D1" s="11" t="s">
        <v>17</v>
      </c>
      <c r="E1" s="11" t="s">
        <v>239</v>
      </c>
      <c r="F1" s="11" t="s">
        <v>219</v>
      </c>
    </row>
    <row r="2" spans="1:6" ht="15">
      <c r="A2" s="2">
        <v>1</v>
      </c>
      <c r="B2" s="1">
        <v>2</v>
      </c>
      <c r="C2" s="1">
        <v>3</v>
      </c>
      <c r="D2" s="1">
        <v>4</v>
      </c>
      <c r="E2" s="1">
        <v>5</v>
      </c>
      <c r="F2" s="55">
        <v>6</v>
      </c>
    </row>
    <row r="3" spans="1:6" ht="28.5">
      <c r="A3" s="36" t="s">
        <v>18</v>
      </c>
      <c r="B3" s="13" t="s">
        <v>19</v>
      </c>
      <c r="C3" s="7" t="s">
        <v>20</v>
      </c>
      <c r="D3" s="14"/>
      <c r="E3" s="14"/>
      <c r="F3" s="14"/>
    </row>
    <row r="4" spans="1:6" ht="15">
      <c r="A4" s="37" t="s">
        <v>8</v>
      </c>
      <c r="B4" s="15" t="s">
        <v>21</v>
      </c>
      <c r="C4" s="16">
        <v>71</v>
      </c>
      <c r="D4" s="17"/>
      <c r="E4" s="17"/>
      <c r="F4" s="17"/>
    </row>
    <row r="5" spans="1:6" ht="30">
      <c r="A5" s="8" t="s">
        <v>22</v>
      </c>
      <c r="B5" s="18" t="s">
        <v>23</v>
      </c>
      <c r="C5" s="12">
        <v>711</v>
      </c>
      <c r="D5" s="19"/>
      <c r="E5" s="19"/>
      <c r="F5" s="19"/>
    </row>
    <row r="6" spans="1:6" ht="15">
      <c r="A6" s="8" t="s">
        <v>24</v>
      </c>
      <c r="B6" s="18" t="s">
        <v>25</v>
      </c>
      <c r="C6" s="12">
        <v>711180</v>
      </c>
      <c r="D6" s="19"/>
      <c r="E6" s="19"/>
      <c r="F6" s="19"/>
    </row>
    <row r="7" spans="1:6" ht="15">
      <c r="A7" s="8" t="s">
        <v>26</v>
      </c>
      <c r="B7" s="18" t="s">
        <v>27</v>
      </c>
      <c r="C7" s="12">
        <v>713</v>
      </c>
      <c r="D7" s="19"/>
      <c r="E7" s="19"/>
      <c r="F7" s="19"/>
    </row>
    <row r="8" spans="1:6" ht="15">
      <c r="A8" s="8" t="s">
        <v>28</v>
      </c>
      <c r="B8" s="18" t="s">
        <v>29</v>
      </c>
      <c r="C8" s="12"/>
      <c r="D8" s="19"/>
      <c r="E8" s="19"/>
      <c r="F8" s="19"/>
    </row>
    <row r="9" spans="1:6" ht="15">
      <c r="A9" s="38" t="s">
        <v>9</v>
      </c>
      <c r="B9" s="20" t="s">
        <v>30</v>
      </c>
      <c r="C9" s="21">
        <v>74</v>
      </c>
      <c r="D9" s="22"/>
      <c r="E9" s="22"/>
      <c r="F9" s="22"/>
    </row>
    <row r="10" spans="1:6" ht="15">
      <c r="A10" s="39" t="s">
        <v>31</v>
      </c>
      <c r="B10" s="23" t="s">
        <v>32</v>
      </c>
      <c r="C10" s="24">
        <v>741510</v>
      </c>
      <c r="D10" s="25"/>
      <c r="E10" s="25"/>
      <c r="F10" s="25"/>
    </row>
    <row r="11" spans="1:6" ht="15">
      <c r="A11" s="40" t="s">
        <v>33</v>
      </c>
      <c r="B11" s="23" t="s">
        <v>34</v>
      </c>
      <c r="C11" s="24">
        <v>741520</v>
      </c>
      <c r="D11" s="25"/>
      <c r="E11" s="25"/>
      <c r="F11" s="25"/>
    </row>
    <row r="12" spans="1:6" ht="15">
      <c r="A12" s="40" t="s">
        <v>33</v>
      </c>
      <c r="B12" s="23" t="s">
        <v>35</v>
      </c>
      <c r="C12" s="24">
        <v>741534</v>
      </c>
      <c r="D12" s="25"/>
      <c r="E12" s="25"/>
      <c r="F12" s="25"/>
    </row>
    <row r="13" spans="1:6" ht="15">
      <c r="A13" s="40" t="s">
        <v>37</v>
      </c>
      <c r="B13" s="26" t="s">
        <v>36</v>
      </c>
      <c r="C13" s="24">
        <v>741542</v>
      </c>
      <c r="D13" s="25"/>
      <c r="E13" s="25"/>
      <c r="F13" s="25"/>
    </row>
    <row r="14" spans="1:6" ht="15">
      <c r="A14" s="40" t="s">
        <v>39</v>
      </c>
      <c r="B14" s="42" t="s">
        <v>38</v>
      </c>
      <c r="C14" s="43">
        <v>741411</v>
      </c>
      <c r="D14" s="25"/>
      <c r="E14" s="25"/>
      <c r="F14" s="25"/>
    </row>
    <row r="15" spans="1:6" ht="15">
      <c r="A15" s="40" t="s">
        <v>41</v>
      </c>
      <c r="B15" s="42" t="s">
        <v>40</v>
      </c>
      <c r="C15" s="44">
        <v>742252</v>
      </c>
      <c r="D15" s="25"/>
      <c r="E15" s="25"/>
      <c r="F15" s="25"/>
    </row>
    <row r="16" spans="1:6" ht="15">
      <c r="A16" s="40" t="s">
        <v>43</v>
      </c>
      <c r="B16" s="42" t="s">
        <v>42</v>
      </c>
      <c r="C16" s="44">
        <v>742253</v>
      </c>
      <c r="D16" s="25"/>
      <c r="E16" s="25"/>
      <c r="F16" s="25"/>
    </row>
    <row r="17" spans="1:6" ht="45">
      <c r="A17" s="40" t="s">
        <v>489</v>
      </c>
      <c r="B17" s="45" t="s">
        <v>44</v>
      </c>
      <c r="C17" s="44">
        <v>742340</v>
      </c>
      <c r="D17" s="25"/>
      <c r="E17" s="25"/>
      <c r="F17" s="25"/>
    </row>
    <row r="18" spans="1:6" ht="15">
      <c r="A18" s="3" t="s">
        <v>490</v>
      </c>
      <c r="B18" s="45" t="s">
        <v>45</v>
      </c>
      <c r="C18" s="46"/>
      <c r="D18" s="25"/>
      <c r="E18" s="25"/>
      <c r="F18" s="25"/>
    </row>
    <row r="19" spans="1:6" ht="15">
      <c r="A19" s="41" t="s">
        <v>10</v>
      </c>
      <c r="B19" s="27" t="s">
        <v>46</v>
      </c>
      <c r="C19" s="28" t="s">
        <v>47</v>
      </c>
      <c r="D19" s="29"/>
      <c r="E19" s="29"/>
      <c r="F19" s="29"/>
    </row>
    <row r="20" spans="1:6" ht="15">
      <c r="A20" s="37" t="s">
        <v>11</v>
      </c>
      <c r="B20" s="15" t="s">
        <v>48</v>
      </c>
      <c r="C20" s="16">
        <v>733</v>
      </c>
      <c r="D20" s="17"/>
      <c r="E20" s="17"/>
      <c r="F20" s="17"/>
    </row>
    <row r="21" spans="1:6" ht="15">
      <c r="A21" s="37" t="s">
        <v>12</v>
      </c>
      <c r="B21" s="15" t="s">
        <v>49</v>
      </c>
      <c r="C21" s="16">
        <v>771</v>
      </c>
      <c r="D21" s="17"/>
      <c r="E21" s="17"/>
      <c r="F21" s="17"/>
    </row>
    <row r="22" spans="1:6" ht="15">
      <c r="A22" s="37" t="s">
        <v>13</v>
      </c>
      <c r="B22" s="15" t="s">
        <v>50</v>
      </c>
      <c r="C22" s="16">
        <v>8</v>
      </c>
      <c r="D22" s="17"/>
      <c r="E22" s="17"/>
      <c r="F22" s="17"/>
    </row>
    <row r="23" spans="1:6" ht="28.5">
      <c r="A23" s="6" t="s">
        <v>51</v>
      </c>
      <c r="B23" s="13" t="s">
        <v>52</v>
      </c>
      <c r="C23" s="7" t="s">
        <v>53</v>
      </c>
      <c r="D23" s="14"/>
      <c r="E23" s="14"/>
      <c r="F23" s="14"/>
    </row>
    <row r="24" spans="1:6" ht="15">
      <c r="A24" s="37" t="s">
        <v>8</v>
      </c>
      <c r="B24" s="15" t="s">
        <v>54</v>
      </c>
      <c r="C24" s="16" t="s">
        <v>55</v>
      </c>
      <c r="D24" s="17"/>
      <c r="E24" s="17"/>
      <c r="F24" s="17"/>
    </row>
    <row r="25" spans="1:6" ht="15">
      <c r="A25" s="8" t="s">
        <v>22</v>
      </c>
      <c r="B25" s="18" t="s">
        <v>56</v>
      </c>
      <c r="C25" s="12">
        <v>41</v>
      </c>
      <c r="D25" s="19"/>
      <c r="E25" s="19"/>
      <c r="F25" s="19"/>
    </row>
    <row r="26" spans="1:6" ht="15">
      <c r="A26" s="8" t="s">
        <v>24</v>
      </c>
      <c r="B26" s="18" t="s">
        <v>57</v>
      </c>
      <c r="C26" s="12">
        <v>42</v>
      </c>
      <c r="D26" s="19"/>
      <c r="E26" s="19"/>
      <c r="F26" s="19"/>
    </row>
    <row r="27" spans="1:6" ht="15">
      <c r="A27" s="8" t="s">
        <v>26</v>
      </c>
      <c r="B27" s="18" t="s">
        <v>58</v>
      </c>
      <c r="C27" s="12">
        <v>43</v>
      </c>
      <c r="D27" s="19"/>
      <c r="E27" s="19"/>
      <c r="F27" s="19"/>
    </row>
    <row r="28" spans="1:6" ht="15">
      <c r="A28" s="8" t="s">
        <v>59</v>
      </c>
      <c r="B28" s="18" t="s">
        <v>60</v>
      </c>
      <c r="C28" s="12">
        <v>44</v>
      </c>
      <c r="D28" s="19"/>
      <c r="E28" s="19"/>
      <c r="F28" s="19"/>
    </row>
    <row r="29" spans="1:6" ht="15">
      <c r="A29" s="8" t="s">
        <v>61</v>
      </c>
      <c r="B29" s="18" t="s">
        <v>62</v>
      </c>
      <c r="C29" s="12">
        <v>45</v>
      </c>
      <c r="D29" s="19"/>
      <c r="E29" s="19"/>
      <c r="F29" s="19"/>
    </row>
    <row r="30" spans="1:6" ht="15">
      <c r="A30" s="8" t="s">
        <v>28</v>
      </c>
      <c r="B30" s="18" t="s">
        <v>63</v>
      </c>
      <c r="C30" s="12">
        <v>47</v>
      </c>
      <c r="D30" s="19"/>
      <c r="E30" s="19"/>
      <c r="F30" s="19"/>
    </row>
    <row r="31" spans="1:6" ht="15">
      <c r="A31" s="8" t="s">
        <v>64</v>
      </c>
      <c r="B31" s="18" t="s">
        <v>65</v>
      </c>
      <c r="C31" s="12" t="s">
        <v>66</v>
      </c>
      <c r="D31" s="19"/>
      <c r="E31" s="19"/>
      <c r="F31" s="19"/>
    </row>
    <row r="32" spans="1:6" ht="15">
      <c r="A32" s="37" t="s">
        <v>9</v>
      </c>
      <c r="B32" s="15" t="s">
        <v>48</v>
      </c>
      <c r="C32" s="16">
        <v>463</v>
      </c>
      <c r="D32" s="17"/>
      <c r="E32" s="17"/>
      <c r="F32" s="17"/>
    </row>
    <row r="33" spans="1:6" ht="15">
      <c r="A33" s="37" t="s">
        <v>10</v>
      </c>
      <c r="B33" s="15" t="s">
        <v>67</v>
      </c>
      <c r="C33" s="16">
        <v>5</v>
      </c>
      <c r="D33" s="17"/>
      <c r="E33" s="17"/>
      <c r="F33" s="17"/>
    </row>
    <row r="34" spans="1:6" ht="15">
      <c r="A34" s="37" t="s">
        <v>11</v>
      </c>
      <c r="B34" s="15" t="s">
        <v>68</v>
      </c>
      <c r="C34" s="16">
        <v>62</v>
      </c>
      <c r="D34" s="17"/>
      <c r="E34" s="17"/>
      <c r="F34" s="17"/>
    </row>
    <row r="35" spans="1:6" ht="28.5">
      <c r="A35" s="6" t="s">
        <v>69</v>
      </c>
      <c r="B35" s="13" t="s">
        <v>70</v>
      </c>
      <c r="C35" s="7">
        <v>9</v>
      </c>
      <c r="D35" s="14"/>
      <c r="E35" s="14"/>
      <c r="F35" s="14"/>
    </row>
    <row r="36" spans="1:6" ht="15">
      <c r="A36" s="37" t="s">
        <v>8</v>
      </c>
      <c r="B36" s="15" t="s">
        <v>71</v>
      </c>
      <c r="C36" s="16">
        <v>91</v>
      </c>
      <c r="D36" s="17"/>
      <c r="E36" s="17"/>
      <c r="F36" s="17"/>
    </row>
    <row r="37" spans="1:6" ht="15">
      <c r="A37" s="8" t="s">
        <v>22</v>
      </c>
      <c r="B37" s="18" t="s">
        <v>477</v>
      </c>
      <c r="C37" s="12">
        <v>911</v>
      </c>
      <c r="D37" s="19"/>
      <c r="E37" s="19"/>
      <c r="F37" s="19"/>
    </row>
    <row r="38" spans="1:6" ht="15">
      <c r="A38" s="8" t="s">
        <v>24</v>
      </c>
      <c r="B38" s="18" t="s">
        <v>478</v>
      </c>
      <c r="C38" s="12">
        <v>912</v>
      </c>
      <c r="D38" s="19"/>
      <c r="E38" s="19"/>
      <c r="F38" s="19"/>
    </row>
    <row r="39" spans="1:6" ht="28.5">
      <c r="A39" s="37" t="s">
        <v>9</v>
      </c>
      <c r="B39" s="15" t="s">
        <v>479</v>
      </c>
      <c r="C39" s="16">
        <v>92</v>
      </c>
      <c r="D39" s="17"/>
      <c r="E39" s="17"/>
      <c r="F39" s="17"/>
    </row>
    <row r="40" spans="1:6" ht="28.5">
      <c r="A40" s="6" t="s">
        <v>480</v>
      </c>
      <c r="B40" s="13" t="s">
        <v>481</v>
      </c>
      <c r="C40" s="7">
        <v>6</v>
      </c>
      <c r="D40" s="14"/>
      <c r="E40" s="14"/>
      <c r="F40" s="14"/>
    </row>
    <row r="41" spans="1:6" ht="15">
      <c r="A41" s="37" t="s">
        <v>8</v>
      </c>
      <c r="B41" s="15" t="s">
        <v>482</v>
      </c>
      <c r="C41" s="16">
        <v>61</v>
      </c>
      <c r="D41" s="17"/>
      <c r="E41" s="17"/>
      <c r="F41" s="17"/>
    </row>
    <row r="42" spans="1:6" ht="15">
      <c r="A42" s="8" t="s">
        <v>22</v>
      </c>
      <c r="B42" s="18" t="s">
        <v>483</v>
      </c>
      <c r="C42" s="30">
        <v>611</v>
      </c>
      <c r="D42" s="31"/>
      <c r="E42" s="31"/>
      <c r="F42" s="31"/>
    </row>
    <row r="43" spans="1:6" ht="15">
      <c r="A43" s="8" t="s">
        <v>24</v>
      </c>
      <c r="B43" s="18" t="s">
        <v>484</v>
      </c>
      <c r="C43" s="30">
        <v>612</v>
      </c>
      <c r="D43" s="31"/>
      <c r="E43" s="31"/>
      <c r="F43" s="31"/>
    </row>
    <row r="44" spans="1:6" ht="15">
      <c r="A44" s="8" t="s">
        <v>26</v>
      </c>
      <c r="B44" s="18" t="s">
        <v>485</v>
      </c>
      <c r="C44" s="30">
        <v>613</v>
      </c>
      <c r="D44" s="31"/>
      <c r="E44" s="31"/>
      <c r="F44" s="31"/>
    </row>
    <row r="45" spans="1:6" ht="15">
      <c r="A45" s="37" t="s">
        <v>9</v>
      </c>
      <c r="B45" s="15" t="s">
        <v>486</v>
      </c>
      <c r="C45" s="32">
        <v>6211</v>
      </c>
      <c r="D45" s="33"/>
      <c r="E45" s="33"/>
      <c r="F45" s="33"/>
    </row>
    <row r="46" spans="1:6" ht="15">
      <c r="A46" s="5"/>
      <c r="B46" s="4"/>
      <c r="C46" s="34"/>
      <c r="D46" s="35"/>
      <c r="E46" s="35"/>
      <c r="F46" s="35"/>
    </row>
    <row r="47" spans="1:6" ht="28.5">
      <c r="A47" s="6" t="s">
        <v>487</v>
      </c>
      <c r="B47" s="13" t="s">
        <v>488</v>
      </c>
      <c r="C47" s="7">
        <v>3</v>
      </c>
      <c r="D47" s="14"/>
      <c r="E47" s="14"/>
      <c r="F47" s="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21.140625" style="0" customWidth="1"/>
    <col min="3" max="3" width="25.8515625" style="0" customWidth="1"/>
  </cols>
  <sheetData>
    <row r="1" ht="15">
      <c r="A1" t="s">
        <v>866</v>
      </c>
    </row>
    <row r="2" ht="15.75" thickBot="1"/>
    <row r="3" spans="1:3" ht="15.75" thickBot="1">
      <c r="A3" s="447" t="s">
        <v>14</v>
      </c>
      <c r="B3" s="448" t="s">
        <v>473</v>
      </c>
      <c r="C3" s="449"/>
    </row>
    <row r="4" spans="1:3" ht="15">
      <c r="A4" s="450">
        <v>1</v>
      </c>
      <c r="B4" s="447" t="s">
        <v>867</v>
      </c>
      <c r="C4" s="456">
        <f>'ЗБИРНИ ПРИХОДИ '!C4</f>
        <v>600919500</v>
      </c>
    </row>
    <row r="5" spans="1:3" ht="15">
      <c r="A5" s="450">
        <v>2</v>
      </c>
      <c r="B5" s="447" t="s">
        <v>868</v>
      </c>
      <c r="C5" s="451">
        <f>'ЗБИРНИ ПРИХОДИ '!C22</f>
        <v>2000000</v>
      </c>
    </row>
    <row r="6" spans="1:3" ht="15.75" thickBot="1">
      <c r="A6" s="452"/>
      <c r="B6" s="452"/>
      <c r="C6" s="453"/>
    </row>
    <row r="7" spans="1:3" ht="15.75" thickBot="1">
      <c r="A7" s="452"/>
      <c r="B7" s="448" t="s">
        <v>869</v>
      </c>
      <c r="C7" s="457">
        <f>C4+C5</f>
        <v>602919500</v>
      </c>
    </row>
    <row r="8" spans="1:3" ht="15">
      <c r="A8" s="455">
        <v>3</v>
      </c>
      <c r="B8" s="447" t="s">
        <v>870</v>
      </c>
      <c r="C8" s="451">
        <f>'ЗБИРНИ РАСХОДИ'!C5</f>
        <v>564984500</v>
      </c>
    </row>
    <row r="9" spans="1:3" ht="15">
      <c r="A9" s="450">
        <v>4</v>
      </c>
      <c r="B9" s="447" t="s">
        <v>871</v>
      </c>
      <c r="C9" s="451">
        <f>'ЗБИРНИ РАСХОДИ'!C18</f>
        <v>17935000</v>
      </c>
    </row>
    <row r="10" spans="1:3" ht="15">
      <c r="A10" s="452"/>
      <c r="B10" s="447" t="s">
        <v>872</v>
      </c>
      <c r="C10" s="453"/>
    </row>
    <row r="11" spans="1:3" ht="15.75" thickBot="1">
      <c r="A11" s="452"/>
      <c r="B11" s="452"/>
      <c r="C11" s="453"/>
    </row>
    <row r="12" spans="1:3" ht="15.75" thickBot="1">
      <c r="A12" s="452"/>
      <c r="B12" s="448" t="s">
        <v>873</v>
      </c>
      <c r="C12" s="454">
        <f>C8+C9</f>
        <v>582919500</v>
      </c>
    </row>
    <row r="13" spans="1:3" ht="15">
      <c r="A13" s="450">
        <v>5</v>
      </c>
      <c r="B13" s="458" t="s">
        <v>874</v>
      </c>
      <c r="C13" s="459" t="s">
        <v>875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K26"/>
  <sheetViews>
    <sheetView view="pageBreakPreview" zoomScaleSheetLayoutView="100" zoomScalePageLayoutView="0" workbookViewId="0" topLeftCell="A7">
      <selection activeCell="A1" sqref="A1:D22"/>
    </sheetView>
  </sheetViews>
  <sheetFormatPr defaultColWidth="9.140625" defaultRowHeight="15"/>
  <cols>
    <col min="1" max="1" width="7.00390625" style="49" customWidth="1"/>
    <col min="2" max="2" width="33.00390625" style="49" customWidth="1"/>
    <col min="3" max="3" width="15.421875" style="49" customWidth="1"/>
    <col min="4" max="4" width="12.421875" style="49" customWidth="1"/>
    <col min="5" max="11" width="13.140625" style="47" customWidth="1"/>
    <col min="12" max="16384" width="9.140625" style="47" customWidth="1"/>
  </cols>
  <sheetData>
    <row r="1" spans="1:3" ht="35.25" customHeight="1">
      <c r="A1" s="810" t="s">
        <v>835</v>
      </c>
      <c r="B1" s="810"/>
      <c r="C1" s="810"/>
    </row>
    <row r="2" spans="1:3" ht="15">
      <c r="A2" s="385"/>
      <c r="B2" s="386"/>
      <c r="C2" s="387"/>
    </row>
    <row r="3" spans="1:11" ht="22.5">
      <c r="A3" s="388" t="s">
        <v>240</v>
      </c>
      <c r="B3" s="388" t="s">
        <v>241</v>
      </c>
      <c r="C3" s="389" t="s">
        <v>834</v>
      </c>
      <c r="D3" s="389" t="s">
        <v>831</v>
      </c>
      <c r="E3" s="331"/>
      <c r="F3" s="331"/>
      <c r="G3" s="331"/>
      <c r="H3" s="331"/>
      <c r="I3" s="331"/>
      <c r="J3" s="331"/>
      <c r="K3" s="331"/>
    </row>
    <row r="4" spans="1:11" ht="15">
      <c r="A4" s="390" t="s">
        <v>242</v>
      </c>
      <c r="B4" s="72">
        <v>2</v>
      </c>
      <c r="C4" s="391">
        <v>3</v>
      </c>
      <c r="D4" s="392"/>
      <c r="E4" s="317"/>
      <c r="F4" s="317"/>
      <c r="G4" s="317"/>
      <c r="H4" s="317"/>
      <c r="I4" s="317"/>
      <c r="J4" s="317"/>
      <c r="K4" s="317"/>
    </row>
    <row r="5" spans="1:11" ht="15">
      <c r="A5" s="393" t="s">
        <v>172</v>
      </c>
      <c r="B5" s="394" t="s">
        <v>380</v>
      </c>
      <c r="C5" s="395">
        <f>'По основ. нам.'!C5</f>
        <v>564984500</v>
      </c>
      <c r="D5" s="395">
        <f aca="true" t="shared" si="0" ref="D5:D22">(C5/C$22)*100</f>
        <v>93.7081152624853</v>
      </c>
      <c r="E5" s="332"/>
      <c r="F5" s="332"/>
      <c r="G5" s="332"/>
      <c r="H5" s="332"/>
      <c r="I5" s="332"/>
      <c r="J5" s="332"/>
      <c r="K5" s="332"/>
    </row>
    <row r="6" spans="1:11" ht="33" customHeight="1">
      <c r="A6" s="396" t="s">
        <v>243</v>
      </c>
      <c r="B6" s="397" t="s">
        <v>244</v>
      </c>
      <c r="C6" s="398">
        <f>'По основ. нам.'!C6</f>
        <v>195347500</v>
      </c>
      <c r="D6" s="395">
        <f t="shared" si="0"/>
        <v>32.40026238992104</v>
      </c>
      <c r="E6" s="333"/>
      <c r="F6" s="333"/>
      <c r="G6" s="333"/>
      <c r="H6" s="333"/>
      <c r="I6" s="333"/>
      <c r="J6" s="333"/>
      <c r="K6" s="333"/>
    </row>
    <row r="7" spans="1:11" ht="15">
      <c r="A7" s="69">
        <v>411</v>
      </c>
      <c r="B7" s="70" t="s">
        <v>286</v>
      </c>
      <c r="C7" s="65">
        <f>'По основ. нам.'!C7</f>
        <v>157857500</v>
      </c>
      <c r="D7" s="395">
        <f t="shared" si="0"/>
        <v>26.18218518392588</v>
      </c>
      <c r="E7" s="334"/>
      <c r="F7" s="334"/>
      <c r="G7" s="334"/>
      <c r="H7" s="334"/>
      <c r="I7" s="334"/>
      <c r="J7" s="334"/>
      <c r="K7" s="334"/>
    </row>
    <row r="8" spans="1:11" ht="15">
      <c r="A8" s="69">
        <v>412</v>
      </c>
      <c r="B8" s="70" t="s">
        <v>287</v>
      </c>
      <c r="C8" s="65">
        <f>'По основ. нам.'!C8</f>
        <v>30433000</v>
      </c>
      <c r="D8" s="395">
        <f t="shared" si="0"/>
        <v>5.047605857830108</v>
      </c>
      <c r="E8" s="334"/>
      <c r="F8" s="334"/>
      <c r="G8" s="334"/>
      <c r="H8" s="334"/>
      <c r="I8" s="334"/>
      <c r="J8" s="334"/>
      <c r="K8" s="334"/>
    </row>
    <row r="9" spans="1:11" ht="15">
      <c r="A9" s="396" t="s">
        <v>296</v>
      </c>
      <c r="B9" s="397" t="s">
        <v>297</v>
      </c>
      <c r="C9" s="398">
        <f>'По основ. нам.'!C14</f>
        <v>216210000</v>
      </c>
      <c r="D9" s="395">
        <f t="shared" si="0"/>
        <v>35.8605087412167</v>
      </c>
      <c r="E9" s="333"/>
      <c r="F9" s="333"/>
      <c r="G9" s="333"/>
      <c r="H9" s="333"/>
      <c r="I9" s="333"/>
      <c r="J9" s="333"/>
      <c r="K9" s="333"/>
    </row>
    <row r="10" spans="1:11" ht="15">
      <c r="A10" s="69" t="s">
        <v>298</v>
      </c>
      <c r="B10" s="70" t="s">
        <v>299</v>
      </c>
      <c r="C10" s="65">
        <f>SUMIF('ПО КОРИСНИЦИМА'!$F$5:$F$2081,'ЗБИРНИ РАСХОДИ'!A10,'ПО КОРИСНИЦИМА'!$H$5:$H$2081)</f>
        <v>62550000</v>
      </c>
      <c r="D10" s="395">
        <f t="shared" si="0"/>
        <v>10.374519318084753</v>
      </c>
      <c r="E10" s="334"/>
      <c r="F10" s="334"/>
      <c r="G10" s="334"/>
      <c r="H10" s="334"/>
      <c r="I10" s="334"/>
      <c r="J10" s="334"/>
      <c r="K10" s="334"/>
    </row>
    <row r="11" spans="1:11" ht="15">
      <c r="A11" s="396" t="s">
        <v>308</v>
      </c>
      <c r="B11" s="397" t="s">
        <v>309</v>
      </c>
      <c r="C11" s="398">
        <f>'По основ. нам.'!C21</f>
        <v>0</v>
      </c>
      <c r="D11" s="395">
        <f t="shared" si="0"/>
        <v>0</v>
      </c>
      <c r="E11" s="333"/>
      <c r="F11" s="333"/>
      <c r="G11" s="333"/>
      <c r="H11" s="333"/>
      <c r="I11" s="333"/>
      <c r="J11" s="333"/>
      <c r="K11" s="333"/>
    </row>
    <row r="12" spans="1:11" ht="15">
      <c r="A12" s="396" t="s">
        <v>315</v>
      </c>
      <c r="B12" s="397" t="s">
        <v>316</v>
      </c>
      <c r="C12" s="398">
        <f>'По основ. нам.'!C27</f>
        <v>10200000</v>
      </c>
      <c r="D12" s="395">
        <f t="shared" si="0"/>
        <v>1.691768138200871</v>
      </c>
      <c r="E12" s="333"/>
      <c r="F12" s="333"/>
      <c r="G12" s="333"/>
      <c r="H12" s="333"/>
      <c r="I12" s="333"/>
      <c r="J12" s="333"/>
      <c r="K12" s="333"/>
    </row>
    <row r="13" spans="1:11" ht="15">
      <c r="A13" s="396" t="s">
        <v>109</v>
      </c>
      <c r="B13" s="397" t="s">
        <v>110</v>
      </c>
      <c r="C13" s="398">
        <f>'По основ. нам.'!C32</f>
        <v>12500000</v>
      </c>
      <c r="D13" s="395">
        <f t="shared" si="0"/>
        <v>2.073245267403028</v>
      </c>
      <c r="E13" s="333"/>
      <c r="F13" s="333"/>
      <c r="G13" s="333"/>
      <c r="H13" s="333"/>
      <c r="I13" s="333"/>
      <c r="J13" s="333"/>
      <c r="K13" s="333"/>
    </row>
    <row r="14" spans="1:11" ht="15">
      <c r="A14" s="396" t="s">
        <v>114</v>
      </c>
      <c r="B14" s="397" t="s">
        <v>285</v>
      </c>
      <c r="C14" s="398">
        <f>'По основ. нам.'!C38</f>
        <v>51330000</v>
      </c>
      <c r="D14" s="395">
        <f t="shared" si="0"/>
        <v>8.513574366063795</v>
      </c>
      <c r="E14" s="333"/>
      <c r="F14" s="333"/>
      <c r="G14" s="333"/>
      <c r="H14" s="333"/>
      <c r="I14" s="333"/>
      <c r="J14" s="333"/>
      <c r="K14" s="333"/>
    </row>
    <row r="15" spans="1:11" ht="15">
      <c r="A15" s="396" t="s">
        <v>121</v>
      </c>
      <c r="B15" s="397" t="s">
        <v>122</v>
      </c>
      <c r="C15" s="398">
        <f>'По основ. нам.'!C45</f>
        <v>17000000</v>
      </c>
      <c r="D15" s="395">
        <f t="shared" si="0"/>
        <v>2.819613563668118</v>
      </c>
      <c r="E15" s="333"/>
      <c r="F15" s="333"/>
      <c r="G15" s="333"/>
      <c r="H15" s="333"/>
      <c r="I15" s="333"/>
      <c r="J15" s="333"/>
      <c r="K15" s="333"/>
    </row>
    <row r="16" spans="1:11" ht="15">
      <c r="A16" s="396" t="s">
        <v>124</v>
      </c>
      <c r="B16" s="397" t="s">
        <v>125</v>
      </c>
      <c r="C16" s="398">
        <f>'По основ. нам.'!C47</f>
        <v>58097000</v>
      </c>
      <c r="D16" s="395">
        <f t="shared" si="0"/>
        <v>9.635946424025098</v>
      </c>
      <c r="E16" s="333"/>
      <c r="F16" s="333"/>
      <c r="G16" s="333"/>
      <c r="H16" s="333"/>
      <c r="I16" s="333"/>
      <c r="J16" s="333"/>
      <c r="K16" s="333"/>
    </row>
    <row r="17" spans="1:11" ht="22.5">
      <c r="A17" s="399">
        <v>490</v>
      </c>
      <c r="B17" s="400" t="s">
        <v>132</v>
      </c>
      <c r="C17" s="398">
        <f>'По основ. нам.'!C54</f>
        <v>4300000</v>
      </c>
      <c r="D17" s="395">
        <f t="shared" si="0"/>
        <v>0.7131963719866417</v>
      </c>
      <c r="E17" s="333"/>
      <c r="F17" s="333"/>
      <c r="G17" s="333"/>
      <c r="H17" s="333"/>
      <c r="I17" s="333"/>
      <c r="J17" s="333"/>
      <c r="K17" s="333"/>
    </row>
    <row r="18" spans="1:11" ht="15">
      <c r="A18" s="396" t="s">
        <v>173</v>
      </c>
      <c r="B18" s="397" t="s">
        <v>381</v>
      </c>
      <c r="C18" s="398">
        <f>'По основ. нам.'!C61</f>
        <v>17935000</v>
      </c>
      <c r="D18" s="395">
        <f t="shared" si="0"/>
        <v>2.9746923096698645</v>
      </c>
      <c r="E18" s="335"/>
      <c r="F18" s="335"/>
      <c r="G18" s="335"/>
      <c r="H18" s="335"/>
      <c r="I18" s="335"/>
      <c r="J18" s="335"/>
      <c r="K18" s="335"/>
    </row>
    <row r="19" spans="1:11" ht="15">
      <c r="A19" s="396" t="s">
        <v>155</v>
      </c>
      <c r="B19" s="397" t="s">
        <v>156</v>
      </c>
      <c r="C19" s="401">
        <f>'По основ. нам.'!C79</f>
        <v>20000000</v>
      </c>
      <c r="D19" s="395">
        <f t="shared" si="0"/>
        <v>3.3171924278448452</v>
      </c>
      <c r="E19" s="337"/>
      <c r="F19" s="337"/>
      <c r="G19" s="337"/>
      <c r="H19" s="337"/>
      <c r="I19" s="337"/>
      <c r="J19" s="337"/>
      <c r="K19" s="337"/>
    </row>
    <row r="20" spans="1:11" ht="15">
      <c r="A20" s="396" t="s">
        <v>162</v>
      </c>
      <c r="B20" s="397" t="s">
        <v>486</v>
      </c>
      <c r="C20" s="401">
        <f>'По основ. нам.'!C83</f>
        <v>0</v>
      </c>
      <c r="D20" s="395">
        <f t="shared" si="0"/>
        <v>0</v>
      </c>
      <c r="E20" s="337"/>
      <c r="F20" s="337"/>
      <c r="G20" s="337"/>
      <c r="H20" s="337"/>
      <c r="I20" s="337"/>
      <c r="J20" s="337"/>
      <c r="K20" s="337"/>
    </row>
    <row r="21" spans="1:11" ht="15">
      <c r="A21" s="69" t="s">
        <v>163</v>
      </c>
      <c r="B21" s="70" t="s">
        <v>164</v>
      </c>
      <c r="C21" s="65">
        <f>SUMIF('ПО КОРИСНИЦИМА'!$F$5:$F$642,'ЗБИРНИ РАСХОДИ'!A21,'ПО КОРИСНИЦИМА'!$H$5:$H$642)</f>
        <v>0</v>
      </c>
      <c r="D21" s="395">
        <f t="shared" si="0"/>
        <v>0</v>
      </c>
      <c r="E21" s="334"/>
      <c r="F21" s="334"/>
      <c r="G21" s="334"/>
      <c r="H21" s="334"/>
      <c r="I21" s="334"/>
      <c r="J21" s="334"/>
      <c r="K21" s="334"/>
    </row>
    <row r="22" spans="1:11" ht="15">
      <c r="A22" s="402"/>
      <c r="B22" s="403" t="s">
        <v>165</v>
      </c>
      <c r="C22" s="401">
        <f>'По основ. нам.'!C85</f>
        <v>602919500</v>
      </c>
      <c r="D22" s="395">
        <f t="shared" si="0"/>
        <v>100</v>
      </c>
      <c r="E22" s="338"/>
      <c r="F22" s="338"/>
      <c r="G22" s="338"/>
      <c r="H22" s="338"/>
      <c r="I22" s="338"/>
      <c r="J22" s="338"/>
      <c r="K22" s="338"/>
    </row>
    <row r="23" spans="1:11" ht="15">
      <c r="A23" s="404"/>
      <c r="B23" s="404"/>
      <c r="C23" s="54"/>
      <c r="E23" s="307"/>
      <c r="F23" s="307"/>
      <c r="G23" s="307"/>
      <c r="H23" s="307"/>
      <c r="I23" s="307"/>
      <c r="J23" s="307"/>
      <c r="K23" s="307"/>
    </row>
    <row r="24" spans="5:11" ht="15">
      <c r="E24" s="308"/>
      <c r="F24" s="308"/>
      <c r="G24" s="308"/>
      <c r="H24" s="308"/>
      <c r="I24" s="308"/>
      <c r="J24" s="308"/>
      <c r="K24" s="308"/>
    </row>
    <row r="26" spans="5:11" ht="15">
      <c r="E26" s="306"/>
      <c r="F26" s="306"/>
      <c r="G26" s="306"/>
      <c r="H26" s="306"/>
      <c r="I26" s="306"/>
      <c r="J26" s="306"/>
      <c r="K26" s="306"/>
    </row>
  </sheetData>
  <sheetProtection/>
  <autoFilter ref="A1:A26"/>
  <mergeCells count="1">
    <mergeCell ref="A1:C1"/>
  </mergeCells>
  <conditionalFormatting sqref="C23">
    <cfRule type="cellIs" priority="3" dxfId="3" operator="notEqual" stopIfTrue="1">
      <formula>0</formula>
    </cfRule>
  </conditionalFormatting>
  <conditionalFormatting sqref="E21:K21 C21 E18:K18 C18 E10:K10 C10 E7:K8 C7:C8">
    <cfRule type="expression" priority="2" dxfId="2" stopIfTrue="1">
      <formula>NOT(ISERROR(SEARCH("411",C7)))</formula>
    </cfRule>
  </conditionalFormatting>
  <conditionalFormatting sqref="C23">
    <cfRule type="cellIs" priority="1" dxfId="0" operator="notEqual">
      <formula>0</formula>
    </cfRule>
  </conditionalFormatting>
  <dataValidations count="1">
    <dataValidation errorStyle="warning" type="whole" operator="equal" allowBlank="1" showInputMessage="1" showErrorMessage="1" errorTitle="Упозорење" error="Дошло је до грешке приликом преузимања података у табели &quot;По основ.нам.&quot;" sqref="C23">
      <formula1>0</formula1>
    </dataValidation>
  </dataValidations>
  <printOptions gridLines="1"/>
  <pageMargins left="0.54" right="0.16" top="0.46" bottom="0.65" header="0.17" footer="0.18"/>
  <pageSetup horizontalDpi="600" verticalDpi="600" orientation="portrait" scale="99" r:id="rId1"/>
  <headerFooter>
    <oddFooter>&amp;R&amp;P</oddFooter>
  </headerFooter>
  <rowBreaks count="2" manualBreakCount="2">
    <brk id="14" max="5" man="1"/>
    <brk id="2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zoomScale="85" zoomScaleNormal="85" zoomScalePageLayoutView="0" workbookViewId="0" topLeftCell="A22">
      <selection activeCell="A1" sqref="A1:D26"/>
    </sheetView>
  </sheetViews>
  <sheetFormatPr defaultColWidth="9.140625" defaultRowHeight="15"/>
  <cols>
    <col min="1" max="1" width="8.28125" style="155" customWidth="1"/>
    <col min="2" max="2" width="32.421875" style="155" customWidth="1"/>
    <col min="3" max="3" width="17.28125" style="268" customWidth="1"/>
    <col min="4" max="4" width="13.00390625" style="155" customWidth="1"/>
    <col min="5" max="5" width="9.140625" style="155" customWidth="1"/>
    <col min="6" max="6" width="10.28125" style="155" bestFit="1" customWidth="1"/>
    <col min="7" max="16384" width="9.140625" style="155" customWidth="1"/>
  </cols>
  <sheetData>
    <row r="1" spans="1:5" s="154" customFormat="1" ht="45" customHeight="1">
      <c r="A1" s="363"/>
      <c r="B1" s="813" t="s">
        <v>861</v>
      </c>
      <c r="C1" s="813"/>
      <c r="D1" s="363"/>
      <c r="E1" s="430"/>
    </row>
    <row r="2" spans="1:4" ht="23.25" customHeight="1">
      <c r="A2" s="814" t="s">
        <v>493</v>
      </c>
      <c r="B2" s="814" t="s">
        <v>494</v>
      </c>
      <c r="C2" s="815" t="s">
        <v>865</v>
      </c>
      <c r="D2" s="811" t="s">
        <v>831</v>
      </c>
    </row>
    <row r="3" spans="1:4" ht="77.25" customHeight="1">
      <c r="A3" s="814"/>
      <c r="B3" s="814"/>
      <c r="C3" s="816"/>
      <c r="D3" s="812"/>
    </row>
    <row r="4" spans="1:5" ht="15">
      <c r="A4" s="365"/>
      <c r="B4" s="366" t="s">
        <v>497</v>
      </c>
      <c r="C4" s="367">
        <f>ПРИХОДИ!D5</f>
        <v>600919500</v>
      </c>
      <c r="D4" s="368">
        <f aca="true" t="shared" si="0" ref="D4:D26">SUM(C4/C$26)*100</f>
        <v>99.66828075721551</v>
      </c>
      <c r="E4" s="328"/>
    </row>
    <row r="5" spans="1:4" ht="15">
      <c r="A5" s="369"/>
      <c r="B5" s="370" t="s">
        <v>498</v>
      </c>
      <c r="C5" s="367">
        <f>ПРИХОДИ!D6</f>
        <v>285820000</v>
      </c>
      <c r="D5" s="368">
        <f t="shared" si="0"/>
        <v>47.40599698633068</v>
      </c>
    </row>
    <row r="6" spans="1:4" ht="24">
      <c r="A6" s="371"/>
      <c r="B6" s="372" t="s">
        <v>499</v>
      </c>
      <c r="C6" s="367">
        <f>ПРИХОДИ!D7</f>
        <v>177220000</v>
      </c>
      <c r="D6" s="368">
        <f t="shared" si="0"/>
        <v>29.39364210313317</v>
      </c>
    </row>
    <row r="7" spans="1:4" ht="15">
      <c r="A7" s="371">
        <v>711111</v>
      </c>
      <c r="B7" s="373" t="s">
        <v>500</v>
      </c>
      <c r="C7" s="374">
        <f>ПРИХОДИ!D8</f>
        <v>140000000</v>
      </c>
      <c r="D7" s="368">
        <f t="shared" si="0"/>
        <v>23.220346994913914</v>
      </c>
    </row>
    <row r="8" spans="1:4" ht="15">
      <c r="A8" s="369"/>
      <c r="B8" s="372" t="s">
        <v>508</v>
      </c>
      <c r="C8" s="375">
        <f>ПРИХОДИ!D16</f>
        <v>56000000</v>
      </c>
      <c r="D8" s="368">
        <f t="shared" si="0"/>
        <v>9.288138797965566</v>
      </c>
    </row>
    <row r="9" spans="1:4" ht="15">
      <c r="A9" s="371"/>
      <c r="B9" s="372" t="s">
        <v>513</v>
      </c>
      <c r="C9" s="375">
        <f>ПРИХОДИ!D16</f>
        <v>56000000</v>
      </c>
      <c r="D9" s="368">
        <f t="shared" si="0"/>
        <v>9.288138797965566</v>
      </c>
    </row>
    <row r="10" spans="1:4" ht="15">
      <c r="A10" s="376"/>
      <c r="B10" s="377" t="s">
        <v>518</v>
      </c>
      <c r="C10" s="375">
        <f>ПРИХОДИ!D32</f>
        <v>10000000</v>
      </c>
      <c r="D10" s="368">
        <f t="shared" si="0"/>
        <v>1.6585962139224226</v>
      </c>
    </row>
    <row r="11" spans="1:4" ht="15">
      <c r="A11" s="376"/>
      <c r="B11" s="377" t="s">
        <v>285</v>
      </c>
      <c r="C11" s="375">
        <f>ПРИХОДИ!D34</f>
        <v>280808076</v>
      </c>
      <c r="D11" s="368">
        <f t="shared" si="0"/>
        <v>46.574721169243986</v>
      </c>
    </row>
    <row r="12" spans="1:4" ht="24">
      <c r="A12" s="376"/>
      <c r="B12" s="377" t="s">
        <v>523</v>
      </c>
      <c r="C12" s="375">
        <f>ПРИХОДИ!D35</f>
        <v>8000000</v>
      </c>
      <c r="D12" s="368">
        <f t="shared" si="0"/>
        <v>1.326876971137938</v>
      </c>
    </row>
    <row r="13" spans="1:4" ht="24">
      <c r="A13" s="376"/>
      <c r="B13" s="377" t="s">
        <v>527</v>
      </c>
      <c r="C13" s="375">
        <f>ПРИХОДИ!D37</f>
        <v>272808076</v>
      </c>
      <c r="D13" s="368">
        <f t="shared" si="0"/>
        <v>45.247844198106044</v>
      </c>
    </row>
    <row r="14" spans="1:4" ht="15">
      <c r="A14" s="378">
        <v>733151</v>
      </c>
      <c r="B14" s="379" t="s">
        <v>528</v>
      </c>
      <c r="C14" s="374">
        <v>228000000</v>
      </c>
      <c r="D14" s="368">
        <f t="shared" si="0"/>
        <v>37.81599367743123</v>
      </c>
    </row>
    <row r="15" spans="1:4" ht="15">
      <c r="A15" s="376"/>
      <c r="B15" s="377" t="s">
        <v>534</v>
      </c>
      <c r="C15" s="375">
        <f>ПРИХОДИ!D41</f>
        <v>34091424</v>
      </c>
      <c r="D15" s="368">
        <f t="shared" si="0"/>
        <v>5.654390677362401</v>
      </c>
    </row>
    <row r="16" spans="1:4" ht="15">
      <c r="A16" s="376"/>
      <c r="B16" s="377" t="s">
        <v>536</v>
      </c>
      <c r="C16" s="375">
        <f>ПРИХОДИ!D42</f>
        <v>7600000</v>
      </c>
      <c r="D16" s="368">
        <f t="shared" si="0"/>
        <v>1.2605331225810412</v>
      </c>
    </row>
    <row r="17" spans="1:4" ht="24">
      <c r="A17" s="376"/>
      <c r="B17" s="377" t="s">
        <v>540</v>
      </c>
      <c r="C17" s="375">
        <f>ПРИХОДИ!D46</f>
        <v>21250000</v>
      </c>
      <c r="D17" s="368">
        <f t="shared" si="0"/>
        <v>3.5245169545851476</v>
      </c>
    </row>
    <row r="18" spans="1:4" ht="36.75" customHeight="1">
      <c r="A18" s="376"/>
      <c r="B18" s="377" t="s">
        <v>545</v>
      </c>
      <c r="C18" s="375">
        <f>ПРИХОДИ!D54</f>
        <v>350000</v>
      </c>
      <c r="D18" s="368">
        <f t="shared" si="0"/>
        <v>0.05805086748728479</v>
      </c>
    </row>
    <row r="19" spans="1:4" ht="24">
      <c r="A19" s="376"/>
      <c r="B19" s="377" t="s">
        <v>551</v>
      </c>
      <c r="C19" s="375">
        <f>ПРИХОДИ!D58</f>
        <v>1430000</v>
      </c>
      <c r="D19" s="368">
        <f t="shared" si="0"/>
        <v>0.2371792585909064</v>
      </c>
    </row>
    <row r="20" spans="1:4" ht="24">
      <c r="A20" s="376"/>
      <c r="B20" s="377" t="s">
        <v>555</v>
      </c>
      <c r="C20" s="375">
        <f>ПРИХОДИ!D60</f>
        <v>3461424</v>
      </c>
      <c r="D20" s="368">
        <f t="shared" si="0"/>
        <v>0.5741104741180207</v>
      </c>
    </row>
    <row r="21" spans="1:4" ht="24">
      <c r="A21" s="376"/>
      <c r="B21" s="377" t="s">
        <v>561</v>
      </c>
      <c r="C21" s="380">
        <f>ПРИХОДИ!D63</f>
        <v>200000</v>
      </c>
      <c r="D21" s="368">
        <f t="shared" si="0"/>
        <v>0.03317192427844845</v>
      </c>
    </row>
    <row r="22" spans="1:4" ht="36">
      <c r="A22" s="376"/>
      <c r="B22" s="377" t="s">
        <v>832</v>
      </c>
      <c r="C22" s="380">
        <f>ПРИХОДИ!D65</f>
        <v>2000000</v>
      </c>
      <c r="D22" s="368">
        <f t="shared" si="0"/>
        <v>0.3317192427844845</v>
      </c>
    </row>
    <row r="23" spans="1:4" ht="15">
      <c r="A23" s="379"/>
      <c r="B23" s="381" t="s">
        <v>569</v>
      </c>
      <c r="C23" s="382">
        <f>ПРИХОДИ!D71</f>
        <v>0</v>
      </c>
      <c r="D23" s="368">
        <f t="shared" si="0"/>
        <v>0</v>
      </c>
    </row>
    <row r="24" spans="1:4" ht="41.25" customHeight="1">
      <c r="A24" s="376"/>
      <c r="B24" s="377" t="s">
        <v>833</v>
      </c>
      <c r="C24" s="380"/>
      <c r="D24" s="368">
        <f t="shared" si="0"/>
        <v>0</v>
      </c>
    </row>
    <row r="25" spans="1:4" ht="33.75" customHeight="1">
      <c r="A25" s="364" t="s">
        <v>576</v>
      </c>
      <c r="B25" s="377" t="s">
        <v>577</v>
      </c>
      <c r="C25" s="382">
        <f>SUM(C4,C22,C23)</f>
        <v>602919500</v>
      </c>
      <c r="D25" s="368">
        <f t="shared" si="0"/>
        <v>100</v>
      </c>
    </row>
    <row r="26" spans="1:4" ht="40.5" customHeight="1">
      <c r="A26" s="369" t="s">
        <v>578</v>
      </c>
      <c r="B26" s="372" t="s">
        <v>579</v>
      </c>
      <c r="C26" s="383">
        <f>SUM(C4,C22,C23)</f>
        <v>602919500</v>
      </c>
      <c r="D26" s="368">
        <f t="shared" si="0"/>
        <v>100</v>
      </c>
    </row>
    <row r="27" spans="2:3" ht="15">
      <c r="B27" s="248"/>
      <c r="C27" s="330"/>
    </row>
    <row r="28" ht="15">
      <c r="C28" s="315"/>
    </row>
  </sheetData>
  <sheetProtection/>
  <mergeCells count="5">
    <mergeCell ref="D2:D3"/>
    <mergeCell ref="B1:C1"/>
    <mergeCell ref="A2:A3"/>
    <mergeCell ref="B2:B3"/>
    <mergeCell ref="C2:C3"/>
  </mergeCells>
  <printOptions/>
  <pageMargins left="0.42" right="0.16" top="0.32" bottom="0.22" header="0.2" footer="0.17"/>
  <pageSetup fitToHeight="4" horizontalDpi="600" verticalDpi="600" orientation="portrait" scale="80" r:id="rId1"/>
  <headerFooter scaleWithDoc="0" alignWithMargins="0">
    <oddFooter>&amp;L&amp;P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L18"/>
  <sheetViews>
    <sheetView zoomScalePageLayoutView="0" workbookViewId="0" topLeftCell="C10">
      <selection activeCell="M19" sqref="M19"/>
    </sheetView>
  </sheetViews>
  <sheetFormatPr defaultColWidth="9.140625" defaultRowHeight="15"/>
  <cols>
    <col min="3" max="3" width="27.28125" style="0" customWidth="1"/>
    <col min="4" max="4" width="16.7109375" style="0" customWidth="1"/>
    <col min="5" max="5" width="6.140625" style="0" customWidth="1"/>
    <col min="7" max="7" width="14.28125" style="0" customWidth="1"/>
    <col min="8" max="8" width="10.00390625" style="0" bestFit="1" customWidth="1"/>
    <col min="10" max="10" width="10.8515625" style="0" customWidth="1"/>
    <col min="11" max="11" width="12.8515625" style="0" customWidth="1"/>
    <col min="12" max="12" width="21.28125" style="0" customWidth="1"/>
  </cols>
  <sheetData>
    <row r="2" spans="1:7" ht="27" thickBot="1">
      <c r="A2" s="817" t="s">
        <v>806</v>
      </c>
      <c r="B2" s="818"/>
      <c r="C2" s="431" t="s">
        <v>807</v>
      </c>
      <c r="D2" s="432" t="s">
        <v>808</v>
      </c>
      <c r="E2" s="826" t="s">
        <v>809</v>
      </c>
      <c r="F2" s="826"/>
      <c r="G2" s="826"/>
    </row>
    <row r="3" spans="1:7" ht="15">
      <c r="A3" s="827">
        <v>1</v>
      </c>
      <c r="B3" s="828"/>
      <c r="C3" s="831" t="s">
        <v>810</v>
      </c>
      <c r="D3" s="832" t="s">
        <v>811</v>
      </c>
      <c r="E3" s="833"/>
      <c r="F3" s="833"/>
      <c r="G3" s="833"/>
    </row>
    <row r="4" spans="1:7" ht="28.5" customHeight="1" thickBot="1">
      <c r="A4" s="829"/>
      <c r="B4" s="830"/>
      <c r="C4" s="831"/>
      <c r="D4" s="832"/>
      <c r="E4" s="433"/>
      <c r="F4" s="434"/>
      <c r="G4" s="435">
        <f>L7</f>
        <v>602919500</v>
      </c>
    </row>
    <row r="5" spans="1:12" ht="39.75" thickBot="1">
      <c r="A5" s="819">
        <v>2</v>
      </c>
      <c r="B5" s="820"/>
      <c r="C5" s="436" t="s">
        <v>812</v>
      </c>
      <c r="D5" s="437" t="s">
        <v>813</v>
      </c>
      <c r="E5" s="433"/>
      <c r="F5" s="434"/>
      <c r="G5" s="438">
        <f>L14</f>
        <v>582919500</v>
      </c>
      <c r="J5" s="340" t="s">
        <v>814</v>
      </c>
      <c r="K5" s="341">
        <v>7</v>
      </c>
      <c r="L5" s="342">
        <f>ПРИХОДИ!D5</f>
        <v>600919500</v>
      </c>
    </row>
    <row r="6" spans="1:12" ht="15">
      <c r="A6" s="821">
        <v>3</v>
      </c>
      <c r="B6" s="822"/>
      <c r="C6" s="825" t="s">
        <v>815</v>
      </c>
      <c r="D6" s="838" t="s">
        <v>816</v>
      </c>
      <c r="E6" s="837"/>
      <c r="F6" s="837"/>
      <c r="G6" s="837"/>
      <c r="J6" s="343" t="s">
        <v>814</v>
      </c>
      <c r="K6" s="344">
        <v>8</v>
      </c>
      <c r="L6" s="345">
        <f>ПРИХОДИ!D65</f>
        <v>2000000</v>
      </c>
    </row>
    <row r="7" spans="1:12" ht="15.75" thickBot="1">
      <c r="A7" s="823"/>
      <c r="B7" s="824"/>
      <c r="C7" s="825"/>
      <c r="D7" s="838"/>
      <c r="E7" s="433"/>
      <c r="F7" s="439"/>
      <c r="G7" s="440">
        <f>SUM(G4-G5)</f>
        <v>20000000</v>
      </c>
      <c r="J7" s="346" t="s">
        <v>817</v>
      </c>
      <c r="K7" s="347" t="s">
        <v>20</v>
      </c>
      <c r="L7" s="348">
        <f>SUM(L5:L6)</f>
        <v>602919500</v>
      </c>
    </row>
    <row r="8" spans="1:12" ht="42" customHeight="1" thickBot="1">
      <c r="A8" s="819">
        <v>4</v>
      </c>
      <c r="B8" s="820"/>
      <c r="C8" s="436" t="s">
        <v>818</v>
      </c>
      <c r="D8" s="441">
        <v>62</v>
      </c>
      <c r="E8" s="433"/>
      <c r="F8" s="436"/>
      <c r="G8" s="436">
        <v>0</v>
      </c>
      <c r="J8" s="343" t="s">
        <v>819</v>
      </c>
      <c r="K8" s="344">
        <v>9</v>
      </c>
      <c r="L8" s="345">
        <v>0</v>
      </c>
    </row>
    <row r="9" spans="1:12" ht="15">
      <c r="A9" s="821">
        <v>5</v>
      </c>
      <c r="B9" s="822"/>
      <c r="C9" s="825" t="s">
        <v>820</v>
      </c>
      <c r="D9" s="838" t="s">
        <v>821</v>
      </c>
      <c r="E9" s="837"/>
      <c r="F9" s="837"/>
      <c r="G9" s="837"/>
      <c r="J9" s="349"/>
      <c r="K9" s="350"/>
      <c r="L9" s="345"/>
    </row>
    <row r="10" spans="1:12" ht="15.75" thickBot="1">
      <c r="A10" s="823"/>
      <c r="B10" s="824"/>
      <c r="C10" s="825"/>
      <c r="D10" s="838"/>
      <c r="E10" s="433"/>
      <c r="F10" s="439"/>
      <c r="G10" s="440">
        <f>SUM(G7-G8)</f>
        <v>20000000</v>
      </c>
      <c r="J10" s="351" t="s">
        <v>819</v>
      </c>
      <c r="K10" s="352" t="s">
        <v>576</v>
      </c>
      <c r="L10" s="353">
        <f>SUM(L7:L9)</f>
        <v>602919500</v>
      </c>
    </row>
    <row r="11" spans="1:12" ht="16.5" thickBot="1">
      <c r="A11" s="834" t="s">
        <v>822</v>
      </c>
      <c r="B11" s="835"/>
      <c r="C11" s="836" t="s">
        <v>823</v>
      </c>
      <c r="D11" s="836"/>
      <c r="E11" s="836"/>
      <c r="F11" s="836"/>
      <c r="G11" s="836"/>
      <c r="J11" s="155"/>
      <c r="K11" s="155"/>
      <c r="L11" s="268"/>
    </row>
    <row r="12" spans="1:12" ht="16.5" thickBot="1">
      <c r="A12" s="819">
        <v>1</v>
      </c>
      <c r="B12" s="820"/>
      <c r="C12" s="436" t="s">
        <v>824</v>
      </c>
      <c r="D12" s="437">
        <v>91</v>
      </c>
      <c r="E12" s="433"/>
      <c r="F12" s="442"/>
      <c r="G12" s="442">
        <f>L8</f>
        <v>0</v>
      </c>
      <c r="J12" s="354" t="s">
        <v>814</v>
      </c>
      <c r="K12" s="355">
        <v>4</v>
      </c>
      <c r="L12" s="356">
        <f>'По основ. нам.'!C5</f>
        <v>564984500</v>
      </c>
    </row>
    <row r="13" spans="1:12" ht="27" thickBot="1">
      <c r="A13" s="819">
        <v>2</v>
      </c>
      <c r="B13" s="820"/>
      <c r="C13" s="436" t="s">
        <v>825</v>
      </c>
      <c r="D13" s="437">
        <v>92</v>
      </c>
      <c r="E13" s="433"/>
      <c r="F13" s="442"/>
      <c r="G13" s="442"/>
      <c r="J13" s="349" t="s">
        <v>814</v>
      </c>
      <c r="K13" s="350">
        <v>5</v>
      </c>
      <c r="L13" s="345">
        <f>'По основ. нам.'!C61</f>
        <v>17935000</v>
      </c>
    </row>
    <row r="14" spans="1:12" ht="37.5" thickBot="1">
      <c r="A14" s="819">
        <v>3</v>
      </c>
      <c r="B14" s="820"/>
      <c r="C14" s="443" t="s">
        <v>818</v>
      </c>
      <c r="D14" s="437">
        <v>6211</v>
      </c>
      <c r="E14" s="433"/>
      <c r="F14" s="442"/>
      <c r="G14" s="442"/>
      <c r="J14" s="357" t="s">
        <v>814</v>
      </c>
      <c r="K14" s="358" t="s">
        <v>53</v>
      </c>
      <c r="L14" s="359">
        <f>SUM(L12:L13)</f>
        <v>582919500</v>
      </c>
    </row>
    <row r="15" spans="1:12" ht="37.5" thickBot="1">
      <c r="A15" s="819">
        <v>4</v>
      </c>
      <c r="B15" s="820"/>
      <c r="C15" s="443" t="s">
        <v>864</v>
      </c>
      <c r="D15" s="410">
        <v>61</v>
      </c>
      <c r="E15" s="408"/>
      <c r="F15" s="409"/>
      <c r="G15" s="446">
        <f>L15</f>
        <v>20000000</v>
      </c>
      <c r="J15" s="349" t="s">
        <v>814</v>
      </c>
      <c r="K15" s="350">
        <v>6</v>
      </c>
      <c r="L15" s="445">
        <f>'По основ. нам.'!C79</f>
        <v>20000000</v>
      </c>
    </row>
    <row r="16" spans="1:12" ht="16.5" thickBot="1">
      <c r="A16" s="821">
        <v>5</v>
      </c>
      <c r="B16" s="822"/>
      <c r="C16" s="841" t="s">
        <v>826</v>
      </c>
      <c r="D16" s="843" t="s">
        <v>827</v>
      </c>
      <c r="E16" s="842"/>
      <c r="F16" s="842"/>
      <c r="G16" s="842"/>
      <c r="J16" s="360" t="s">
        <v>819</v>
      </c>
      <c r="K16" s="361" t="s">
        <v>828</v>
      </c>
      <c r="L16" s="362">
        <f>SUM(L14:L15)</f>
        <v>602919500</v>
      </c>
    </row>
    <row r="17" spans="1:7" ht="16.5" thickBot="1">
      <c r="A17" s="823"/>
      <c r="B17" s="824"/>
      <c r="C17" s="841"/>
      <c r="D17" s="843"/>
      <c r="E17" s="408"/>
      <c r="F17" s="411"/>
      <c r="G17" s="412">
        <f>SUM(G12+G13)-(G15+G16)</f>
        <v>-20000000</v>
      </c>
    </row>
    <row r="18" spans="1:7" ht="48" thickBot="1">
      <c r="A18" s="839">
        <v>6</v>
      </c>
      <c r="B18" s="840"/>
      <c r="C18" s="444" t="s">
        <v>829</v>
      </c>
      <c r="D18" s="413" t="s">
        <v>830</v>
      </c>
      <c r="E18" s="408"/>
      <c r="F18" s="411"/>
      <c r="G18" s="412">
        <f>(G10+G12)-G15</f>
        <v>0</v>
      </c>
    </row>
  </sheetData>
  <sheetProtection/>
  <mergeCells count="27">
    <mergeCell ref="A18:B18"/>
    <mergeCell ref="A14:B14"/>
    <mergeCell ref="A15:B15"/>
    <mergeCell ref="A16:B17"/>
    <mergeCell ref="C16:C17"/>
    <mergeCell ref="E16:G16"/>
    <mergeCell ref="D16:D17"/>
    <mergeCell ref="A11:B11"/>
    <mergeCell ref="C11:G11"/>
    <mergeCell ref="A12:B12"/>
    <mergeCell ref="A13:B13"/>
    <mergeCell ref="E9:G9"/>
    <mergeCell ref="E6:G6"/>
    <mergeCell ref="A9:B10"/>
    <mergeCell ref="C9:C10"/>
    <mergeCell ref="D9:D10"/>
    <mergeCell ref="D6:D7"/>
    <mergeCell ref="A2:B2"/>
    <mergeCell ref="A5:B5"/>
    <mergeCell ref="A6:B7"/>
    <mergeCell ref="C6:C7"/>
    <mergeCell ref="A8:B8"/>
    <mergeCell ref="E2:G2"/>
    <mergeCell ref="A3:B4"/>
    <mergeCell ref="C3:C4"/>
    <mergeCell ref="D3:D4"/>
    <mergeCell ref="E3:G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O78"/>
  <sheetViews>
    <sheetView zoomScale="85" zoomScaleNormal="85" zoomScalePageLayoutView="0" workbookViewId="0" topLeftCell="A67">
      <selection activeCell="E86" sqref="E86"/>
    </sheetView>
  </sheetViews>
  <sheetFormatPr defaultColWidth="9.140625" defaultRowHeight="15"/>
  <cols>
    <col min="1" max="1" width="15.421875" style="155" customWidth="1"/>
    <col min="2" max="2" width="8.28125" style="155" customWidth="1"/>
    <col min="3" max="3" width="26.00390625" style="155" customWidth="1"/>
    <col min="4" max="5" width="17.28125" style="268" customWidth="1"/>
    <col min="6" max="6" width="13.28125" style="268" customWidth="1"/>
    <col min="7" max="7" width="17.28125" style="268" customWidth="1"/>
    <col min="8" max="13" width="9.140625" style="155" customWidth="1"/>
    <col min="14" max="14" width="10.28125" style="155" bestFit="1" customWidth="1"/>
    <col min="15" max="15" width="11.421875" style="155" customWidth="1"/>
    <col min="16" max="16384" width="9.140625" style="155" customWidth="1"/>
  </cols>
  <sheetData>
    <row r="1" spans="3:7" s="154" customFormat="1" ht="45" customHeight="1" thickBot="1">
      <c r="C1" s="844" t="s">
        <v>882</v>
      </c>
      <c r="D1" s="844"/>
      <c r="E1" s="844"/>
      <c r="F1" s="844"/>
      <c r="G1" s="844"/>
    </row>
    <row r="2" spans="1:7" ht="23.25" customHeight="1">
      <c r="A2" s="845" t="s">
        <v>492</v>
      </c>
      <c r="B2" s="847" t="s">
        <v>493</v>
      </c>
      <c r="C2" s="847" t="s">
        <v>494</v>
      </c>
      <c r="D2" s="849" t="s">
        <v>898</v>
      </c>
      <c r="E2" s="850"/>
      <c r="F2" s="850"/>
      <c r="G2" s="851"/>
    </row>
    <row r="3" spans="1:7" ht="77.25" customHeight="1">
      <c r="A3" s="846"/>
      <c r="B3" s="848"/>
      <c r="C3" s="848"/>
      <c r="D3" s="384" t="s">
        <v>883</v>
      </c>
      <c r="E3" s="384" t="s">
        <v>884</v>
      </c>
      <c r="F3" s="384" t="s">
        <v>885</v>
      </c>
      <c r="G3" s="272" t="s">
        <v>219</v>
      </c>
    </row>
    <row r="4" spans="1:7" ht="60" customHeight="1">
      <c r="A4" s="156"/>
      <c r="B4" s="157"/>
      <c r="C4" s="158" t="s">
        <v>495</v>
      </c>
      <c r="D4" s="159"/>
      <c r="E4" s="271"/>
      <c r="F4" s="305"/>
      <c r="G4" s="273"/>
    </row>
    <row r="5" spans="1:7" ht="15">
      <c r="A5" s="160" t="s">
        <v>496</v>
      </c>
      <c r="B5" s="161"/>
      <c r="C5" s="162" t="s">
        <v>497</v>
      </c>
      <c r="D5" s="428">
        <f>SUM(D6,D34,D41,D63)</f>
        <v>600919500</v>
      </c>
      <c r="E5" s="428">
        <f>SUM(E6,E34,E41,E63)</f>
        <v>100000</v>
      </c>
      <c r="F5" s="428">
        <f>SUM(F6,F34,F41,F63)</f>
        <v>0</v>
      </c>
      <c r="G5" s="429">
        <f aca="true" t="shared" si="0" ref="G5:G35">SUM(D5:F5)</f>
        <v>601019500</v>
      </c>
    </row>
    <row r="6" spans="1:7" ht="15">
      <c r="A6" s="163">
        <v>710000</v>
      </c>
      <c r="B6" s="164"/>
      <c r="C6" s="165" t="s">
        <v>498</v>
      </c>
      <c r="D6" s="252">
        <f>SUM(D7,D16,D22,D32)</f>
        <v>285820000</v>
      </c>
      <c r="E6" s="283">
        <f>SUM(E7,E16,E22,E32)</f>
        <v>0</v>
      </c>
      <c r="F6" s="283">
        <f>SUM(F7,F16,F22,F32)</f>
        <v>0</v>
      </c>
      <c r="G6" s="274">
        <f t="shared" si="0"/>
        <v>285820000</v>
      </c>
    </row>
    <row r="7" spans="1:14" ht="36">
      <c r="A7" s="166">
        <v>711000</v>
      </c>
      <c r="B7" s="167"/>
      <c r="C7" s="168" t="s">
        <v>499</v>
      </c>
      <c r="D7" s="253">
        <f>SUM(D8:D15)</f>
        <v>177220000</v>
      </c>
      <c r="E7" s="284">
        <f>SUM(E8:E15)</f>
        <v>0</v>
      </c>
      <c r="F7" s="284">
        <f>SUM(F8:F15)</f>
        <v>0</v>
      </c>
      <c r="G7" s="274">
        <f t="shared" si="0"/>
        <v>177220000</v>
      </c>
      <c r="N7" s="155">
        <v>120000000</v>
      </c>
    </row>
    <row r="8" spans="1:15" ht="15">
      <c r="A8" s="169"/>
      <c r="B8" s="170">
        <v>711111</v>
      </c>
      <c r="C8" s="171" t="s">
        <v>500</v>
      </c>
      <c r="D8" s="269">
        <v>140000000</v>
      </c>
      <c r="E8" s="326"/>
      <c r="F8" s="275"/>
      <c r="G8" s="274">
        <f t="shared" si="0"/>
        <v>140000000</v>
      </c>
      <c r="N8" s="155">
        <f>SUM(H8:M8)</f>
        <v>0</v>
      </c>
      <c r="O8" s="155">
        <f>N7-N8</f>
        <v>120000000</v>
      </c>
    </row>
    <row r="9" spans="1:7" ht="50.25" customHeight="1">
      <c r="A9" s="169"/>
      <c r="B9" s="170">
        <v>711121</v>
      </c>
      <c r="C9" s="292" t="s">
        <v>501</v>
      </c>
      <c r="D9" s="299">
        <v>2900000</v>
      </c>
      <c r="E9" s="326"/>
      <c r="F9" s="291"/>
      <c r="G9" s="274">
        <f t="shared" si="0"/>
        <v>2900000</v>
      </c>
    </row>
    <row r="10" spans="1:7" ht="48.75" customHeight="1">
      <c r="A10" s="169"/>
      <c r="B10" s="170">
        <v>711122</v>
      </c>
      <c r="C10" s="292" t="s">
        <v>502</v>
      </c>
      <c r="D10" s="299">
        <v>9000000</v>
      </c>
      <c r="E10" s="326"/>
      <c r="F10" s="291"/>
      <c r="G10" s="274">
        <f t="shared" si="0"/>
        <v>9000000</v>
      </c>
    </row>
    <row r="11" spans="1:7" ht="48">
      <c r="A11" s="169"/>
      <c r="B11" s="170">
        <v>711123</v>
      </c>
      <c r="C11" s="292" t="s">
        <v>503</v>
      </c>
      <c r="D11" s="299">
        <v>14000000</v>
      </c>
      <c r="E11" s="326"/>
      <c r="F11" s="291"/>
      <c r="G11" s="274">
        <f t="shared" si="0"/>
        <v>14000000</v>
      </c>
    </row>
    <row r="12" spans="1:7" ht="24">
      <c r="A12" s="169"/>
      <c r="B12" s="170">
        <v>711143</v>
      </c>
      <c r="C12" s="171" t="s">
        <v>504</v>
      </c>
      <c r="D12" s="269">
        <v>2000000</v>
      </c>
      <c r="E12" s="326"/>
      <c r="F12" s="275"/>
      <c r="G12" s="274">
        <f t="shared" si="0"/>
        <v>2000000</v>
      </c>
    </row>
    <row r="13" spans="1:7" ht="50.25" customHeight="1">
      <c r="A13" s="169"/>
      <c r="B13" s="170">
        <v>711145</v>
      </c>
      <c r="C13" s="292" t="s">
        <v>505</v>
      </c>
      <c r="D13" s="299">
        <v>220000</v>
      </c>
      <c r="E13" s="326"/>
      <c r="F13" s="291"/>
      <c r="G13" s="274">
        <f t="shared" si="0"/>
        <v>220000</v>
      </c>
    </row>
    <row r="14" spans="1:7" ht="14.25" customHeight="1">
      <c r="A14" s="169"/>
      <c r="B14" s="172">
        <v>711147</v>
      </c>
      <c r="C14" s="171" t="s">
        <v>506</v>
      </c>
      <c r="D14" s="269">
        <v>100000</v>
      </c>
      <c r="E14" s="326"/>
      <c r="F14" s="275"/>
      <c r="G14" s="274">
        <f t="shared" si="0"/>
        <v>100000</v>
      </c>
    </row>
    <row r="15" spans="1:7" ht="15">
      <c r="A15" s="173"/>
      <c r="B15" s="170">
        <v>711191</v>
      </c>
      <c r="C15" s="292" t="s">
        <v>507</v>
      </c>
      <c r="D15" s="299">
        <v>9000000</v>
      </c>
      <c r="E15" s="326"/>
      <c r="F15" s="291"/>
      <c r="G15" s="274">
        <f t="shared" si="0"/>
        <v>9000000</v>
      </c>
    </row>
    <row r="16" spans="1:7" ht="15">
      <c r="A16" s="166">
        <v>713000</v>
      </c>
      <c r="B16" s="174"/>
      <c r="C16" s="168" t="s">
        <v>508</v>
      </c>
      <c r="D16" s="254">
        <f>SUM(D17:D21)</f>
        <v>56000000</v>
      </c>
      <c r="E16" s="276">
        <f>SUM(E17:E21)</f>
        <v>0</v>
      </c>
      <c r="F16" s="276">
        <f>SUM(F17:F21)</f>
        <v>0</v>
      </c>
      <c r="G16" s="274">
        <f t="shared" si="0"/>
        <v>56000000</v>
      </c>
    </row>
    <row r="17" spans="1:7" ht="44.25" customHeight="1">
      <c r="A17" s="169"/>
      <c r="B17" s="172">
        <v>713121</v>
      </c>
      <c r="C17" s="171" t="s">
        <v>509</v>
      </c>
      <c r="D17" s="269">
        <v>32000000</v>
      </c>
      <c r="E17" s="326"/>
      <c r="F17" s="275"/>
      <c r="G17" s="274">
        <f t="shared" si="0"/>
        <v>32000000</v>
      </c>
    </row>
    <row r="18" spans="1:7" ht="27.75" customHeight="1">
      <c r="A18" s="169"/>
      <c r="B18" s="172">
        <v>713122</v>
      </c>
      <c r="C18" s="292" t="s">
        <v>510</v>
      </c>
      <c r="D18" s="299">
        <v>15000000</v>
      </c>
      <c r="E18" s="326"/>
      <c r="F18" s="291"/>
      <c r="G18" s="274">
        <f t="shared" si="0"/>
        <v>15000000</v>
      </c>
    </row>
    <row r="19" spans="1:7" ht="24">
      <c r="A19" s="169"/>
      <c r="B19" s="170">
        <v>713311</v>
      </c>
      <c r="C19" s="292" t="s">
        <v>511</v>
      </c>
      <c r="D19" s="299">
        <v>2000000</v>
      </c>
      <c r="E19" s="326"/>
      <c r="F19" s="291"/>
      <c r="G19" s="274">
        <f t="shared" si="0"/>
        <v>2000000</v>
      </c>
    </row>
    <row r="20" spans="1:7" ht="34.5" customHeight="1">
      <c r="A20" s="169"/>
      <c r="B20" s="170">
        <v>713421</v>
      </c>
      <c r="C20" s="406" t="s">
        <v>512</v>
      </c>
      <c r="D20" s="297">
        <v>3000000</v>
      </c>
      <c r="E20" s="326"/>
      <c r="F20" s="298"/>
      <c r="G20" s="274">
        <f t="shared" si="0"/>
        <v>3000000</v>
      </c>
    </row>
    <row r="21" spans="1:7" ht="36" customHeight="1">
      <c r="A21" s="169"/>
      <c r="B21" s="170">
        <v>713427</v>
      </c>
      <c r="C21" s="406" t="s">
        <v>857</v>
      </c>
      <c r="D21" s="269">
        <v>4000000</v>
      </c>
      <c r="E21" s="326"/>
      <c r="F21" s="275"/>
      <c r="G21" s="274">
        <f t="shared" si="0"/>
        <v>4000000</v>
      </c>
    </row>
    <row r="22" spans="1:7" ht="15">
      <c r="A22" s="166">
        <v>714000</v>
      </c>
      <c r="B22" s="167"/>
      <c r="C22" s="407"/>
      <c r="D22" s="276">
        <f>SUM(D23:D31)</f>
        <v>42600000</v>
      </c>
      <c r="E22" s="276">
        <f>SUM(E23:E31)</f>
        <v>0</v>
      </c>
      <c r="F22" s="276">
        <f>SUM(F23:F31)</f>
        <v>0</v>
      </c>
      <c r="G22" s="274">
        <f t="shared" si="0"/>
        <v>42600000</v>
      </c>
    </row>
    <row r="23" spans="1:7" ht="60">
      <c r="A23" s="175"/>
      <c r="B23" s="172">
        <v>714513</v>
      </c>
      <c r="C23" s="171" t="s">
        <v>514</v>
      </c>
      <c r="D23" s="269">
        <v>6500000</v>
      </c>
      <c r="E23" s="326"/>
      <c r="F23" s="275"/>
      <c r="G23" s="274">
        <f t="shared" si="0"/>
        <v>6500000</v>
      </c>
    </row>
    <row r="24" spans="1:7" ht="27" customHeight="1">
      <c r="A24" s="175"/>
      <c r="B24" s="170">
        <v>714543</v>
      </c>
      <c r="C24" s="292" t="s">
        <v>515</v>
      </c>
      <c r="D24" s="299">
        <v>100000</v>
      </c>
      <c r="E24" s="326"/>
      <c r="F24" s="291"/>
      <c r="G24" s="274">
        <f t="shared" si="0"/>
        <v>100000</v>
      </c>
    </row>
    <row r="25" spans="1:7" ht="27" customHeight="1">
      <c r="A25" s="175"/>
      <c r="B25" s="170">
        <v>714549</v>
      </c>
      <c r="C25" s="292" t="s">
        <v>753</v>
      </c>
      <c r="D25" s="299">
        <v>1000000</v>
      </c>
      <c r="E25" s="326"/>
      <c r="F25" s="291"/>
      <c r="G25" s="274">
        <f t="shared" si="0"/>
        <v>1000000</v>
      </c>
    </row>
    <row r="26" spans="1:7" ht="15">
      <c r="A26" s="173"/>
      <c r="B26" s="172">
        <v>714552</v>
      </c>
      <c r="C26" s="304" t="s">
        <v>516</v>
      </c>
      <c r="D26" s="299">
        <v>200000</v>
      </c>
      <c r="E26" s="326"/>
      <c r="F26" s="291"/>
      <c r="G26" s="274">
        <f t="shared" si="0"/>
        <v>200000</v>
      </c>
    </row>
    <row r="27" spans="1:7" ht="24">
      <c r="A27" s="175"/>
      <c r="B27" s="172">
        <v>714562</v>
      </c>
      <c r="C27" s="171" t="s">
        <v>780</v>
      </c>
      <c r="D27" s="269">
        <v>3300000</v>
      </c>
      <c r="E27" s="326"/>
      <c r="F27" s="275"/>
      <c r="G27" s="274">
        <f t="shared" si="0"/>
        <v>3300000</v>
      </c>
    </row>
    <row r="28" spans="1:7" s="231" customFormat="1" ht="64.5" customHeight="1">
      <c r="A28" s="264"/>
      <c r="B28" s="265">
        <v>714565</v>
      </c>
      <c r="C28" s="302" t="s">
        <v>781</v>
      </c>
      <c r="D28" s="329">
        <v>500000</v>
      </c>
      <c r="E28" s="326"/>
      <c r="F28" s="291"/>
      <c r="G28" s="274">
        <f t="shared" si="0"/>
        <v>500000</v>
      </c>
    </row>
    <row r="29" spans="1:7" s="231" customFormat="1" ht="45">
      <c r="A29" s="264"/>
      <c r="B29" s="265">
        <v>714566</v>
      </c>
      <c r="C29" s="266" t="s">
        <v>784</v>
      </c>
      <c r="D29" s="269">
        <v>500000</v>
      </c>
      <c r="E29" s="326"/>
      <c r="F29" s="275"/>
      <c r="G29" s="274">
        <f t="shared" si="0"/>
        <v>500000</v>
      </c>
    </row>
    <row r="30" spans="1:7" s="231" customFormat="1" ht="48">
      <c r="A30" s="264"/>
      <c r="B30" s="265">
        <v>714567</v>
      </c>
      <c r="C30" s="302" t="s">
        <v>782</v>
      </c>
      <c r="D30" s="299">
        <v>500000</v>
      </c>
      <c r="E30" s="326"/>
      <c r="F30" s="291"/>
      <c r="G30" s="274">
        <f t="shared" si="0"/>
        <v>500000</v>
      </c>
    </row>
    <row r="31" spans="1:7" s="231" customFormat="1" ht="75">
      <c r="A31" s="264"/>
      <c r="B31" s="265">
        <v>714599</v>
      </c>
      <c r="C31" s="267" t="s">
        <v>783</v>
      </c>
      <c r="D31" s="298">
        <v>30000000</v>
      </c>
      <c r="E31" s="326"/>
      <c r="F31" s="275"/>
      <c r="G31" s="274">
        <f t="shared" si="0"/>
        <v>30000000</v>
      </c>
    </row>
    <row r="32" spans="1:7" ht="15">
      <c r="A32" s="176" t="s">
        <v>517</v>
      </c>
      <c r="B32" s="177"/>
      <c r="C32" s="178" t="s">
        <v>518</v>
      </c>
      <c r="D32" s="303">
        <f>SUM(D33:D33)</f>
        <v>10000000</v>
      </c>
      <c r="E32" s="276">
        <f>SUM(E33:E33)</f>
        <v>0</v>
      </c>
      <c r="F32" s="276">
        <f>SUM(F33:F33)</f>
        <v>0</v>
      </c>
      <c r="G32" s="274">
        <f t="shared" si="0"/>
        <v>10000000</v>
      </c>
    </row>
    <row r="33" spans="1:7" ht="24">
      <c r="A33" s="175"/>
      <c r="B33" s="179" t="s">
        <v>519</v>
      </c>
      <c r="C33" s="171" t="s">
        <v>520</v>
      </c>
      <c r="D33" s="269">
        <v>10000000</v>
      </c>
      <c r="E33" s="326"/>
      <c r="F33" s="275"/>
      <c r="G33" s="274">
        <f t="shared" si="0"/>
        <v>10000000</v>
      </c>
    </row>
    <row r="34" spans="1:7" ht="15">
      <c r="A34" s="180" t="s">
        <v>521</v>
      </c>
      <c r="B34" s="181"/>
      <c r="C34" s="182" t="s">
        <v>285</v>
      </c>
      <c r="D34" s="255">
        <f>SUM(D35,D37)</f>
        <v>280808076</v>
      </c>
      <c r="E34" s="255">
        <f>SUM(E35,E37)</f>
        <v>0</v>
      </c>
      <c r="F34" s="255">
        <f>SUM(F35,F37)</f>
        <v>0</v>
      </c>
      <c r="G34" s="274">
        <f t="shared" si="0"/>
        <v>280808076</v>
      </c>
    </row>
    <row r="35" spans="1:7" ht="24">
      <c r="A35" s="176" t="s">
        <v>522</v>
      </c>
      <c r="B35" s="177"/>
      <c r="C35" s="178" t="s">
        <v>523</v>
      </c>
      <c r="D35" s="263">
        <f>SUM(D36)</f>
        <v>8000000</v>
      </c>
      <c r="E35" s="263">
        <f>SUM(E36)</f>
        <v>0</v>
      </c>
      <c r="F35" s="278"/>
      <c r="G35" s="274">
        <f t="shared" si="0"/>
        <v>8000000</v>
      </c>
    </row>
    <row r="36" spans="1:7" ht="36">
      <c r="A36" s="175"/>
      <c r="B36" s="183" t="s">
        <v>524</v>
      </c>
      <c r="C36" s="184" t="s">
        <v>525</v>
      </c>
      <c r="D36" s="326">
        <v>8000000</v>
      </c>
      <c r="E36" s="326"/>
      <c r="G36" s="274">
        <f>SUM(D36:E36)</f>
        <v>8000000</v>
      </c>
    </row>
    <row r="37" spans="1:7" ht="24">
      <c r="A37" s="176" t="s">
        <v>526</v>
      </c>
      <c r="B37" s="177"/>
      <c r="C37" s="178" t="s">
        <v>527</v>
      </c>
      <c r="D37" s="254">
        <f>SUM(D38:D40)</f>
        <v>272808076</v>
      </c>
      <c r="E37" s="254">
        <f>SUM(E38:E40)</f>
        <v>0</v>
      </c>
      <c r="F37" s="254">
        <f>SUM(F38:F40)</f>
        <v>0</v>
      </c>
      <c r="G37" s="274">
        <f>SUM(D37:F37)</f>
        <v>272808076</v>
      </c>
    </row>
    <row r="38" spans="1:7" ht="15">
      <c r="A38" s="185"/>
      <c r="B38" s="186">
        <v>733151</v>
      </c>
      <c r="C38" s="187" t="s">
        <v>528</v>
      </c>
      <c r="D38" s="269">
        <v>228000000</v>
      </c>
      <c r="E38" s="326"/>
      <c r="G38" s="274">
        <f>SUM(D38:E38)</f>
        <v>228000000</v>
      </c>
    </row>
    <row r="39" spans="1:7" s="231" customFormat="1" ht="36">
      <c r="A39" s="229"/>
      <c r="B39" s="230" t="s">
        <v>529</v>
      </c>
      <c r="C39" s="301" t="s">
        <v>530</v>
      </c>
      <c r="D39" s="427">
        <v>41808076</v>
      </c>
      <c r="E39" s="326"/>
      <c r="G39" s="274">
        <f>SUM(D39:F39)</f>
        <v>41808076</v>
      </c>
    </row>
    <row r="40" spans="1:7" ht="36">
      <c r="A40" s="185"/>
      <c r="B40" s="183" t="s">
        <v>531</v>
      </c>
      <c r="C40" s="184" t="s">
        <v>532</v>
      </c>
      <c r="D40" s="318">
        <v>3000000</v>
      </c>
      <c r="E40" s="326"/>
      <c r="G40" s="274">
        <f>SUM(D40:E40)</f>
        <v>3000000</v>
      </c>
    </row>
    <row r="41" spans="1:7" ht="15">
      <c r="A41" s="180" t="s">
        <v>533</v>
      </c>
      <c r="B41" s="181"/>
      <c r="C41" s="182" t="s">
        <v>534</v>
      </c>
      <c r="D41" s="277">
        <f>SUM(D42,D46,D54,D58,D60)</f>
        <v>34091424</v>
      </c>
      <c r="E41" s="277">
        <f>SUM(E42,E46,E54,E58,E60)</f>
        <v>100000</v>
      </c>
      <c r="F41" s="277">
        <f>SUM(F42,F46,F54,F58,F60)</f>
        <v>0</v>
      </c>
      <c r="G41" s="274">
        <f>SUM(D41:F41)</f>
        <v>34191424</v>
      </c>
    </row>
    <row r="42" spans="1:7" ht="15">
      <c r="A42" s="176" t="s">
        <v>535</v>
      </c>
      <c r="B42" s="177"/>
      <c r="C42" s="178" t="s">
        <v>536</v>
      </c>
      <c r="D42" s="254">
        <f>SUM(D43:D45)</f>
        <v>7600000</v>
      </c>
      <c r="E42" s="276">
        <f>SUM(E43:E45)</f>
        <v>0</v>
      </c>
      <c r="F42" s="276">
        <f>SUM(F43:F45)</f>
        <v>0</v>
      </c>
      <c r="G42" s="274">
        <f>SUM(D42:F42)</f>
        <v>7600000</v>
      </c>
    </row>
    <row r="43" spans="1:7" ht="31.5" customHeight="1">
      <c r="A43" s="185"/>
      <c r="B43" s="188" t="s">
        <v>537</v>
      </c>
      <c r="C43" s="300" t="s">
        <v>32</v>
      </c>
      <c r="D43" s="299">
        <v>6000000</v>
      </c>
      <c r="E43" s="326"/>
      <c r="G43" s="274">
        <f>SUM(D43:E43)</f>
        <v>6000000</v>
      </c>
    </row>
    <row r="44" spans="1:7" ht="33" customHeight="1">
      <c r="A44" s="185"/>
      <c r="B44" s="238" t="s">
        <v>538</v>
      </c>
      <c r="C44" s="323" t="s">
        <v>35</v>
      </c>
      <c r="D44" s="269">
        <v>1000000</v>
      </c>
      <c r="E44" s="326"/>
      <c r="G44" s="274">
        <f>SUM(D44:E44)</f>
        <v>1000000</v>
      </c>
    </row>
    <row r="45" spans="1:7" s="309" customFormat="1" ht="40.5" customHeight="1">
      <c r="A45" s="327"/>
      <c r="B45" s="238" t="s">
        <v>793</v>
      </c>
      <c r="C45" s="323" t="s">
        <v>794</v>
      </c>
      <c r="D45" s="310">
        <v>600000</v>
      </c>
      <c r="E45" s="326"/>
      <c r="F45" s="324">
        <v>0</v>
      </c>
      <c r="G45" s="325">
        <f aca="true" t="shared" si="1" ref="G45:G76">SUM(D45:F45)</f>
        <v>600000</v>
      </c>
    </row>
    <row r="46" spans="1:7" ht="24">
      <c r="A46" s="176" t="s">
        <v>539</v>
      </c>
      <c r="B46" s="177"/>
      <c r="C46" s="178" t="s">
        <v>540</v>
      </c>
      <c r="D46" s="293">
        <f>SUM(D47:D53)</f>
        <v>21250000</v>
      </c>
      <c r="E46" s="294">
        <f>SUM(E47:E53)</f>
        <v>0</v>
      </c>
      <c r="F46" s="294">
        <f>SUM(F47:F53)</f>
        <v>0</v>
      </c>
      <c r="G46" s="274">
        <f t="shared" si="1"/>
        <v>21250000</v>
      </c>
    </row>
    <row r="47" spans="1:7" ht="42" customHeight="1">
      <c r="A47" s="185"/>
      <c r="B47" s="238" t="s">
        <v>790</v>
      </c>
      <c r="C47" s="292" t="s">
        <v>791</v>
      </c>
      <c r="D47" s="295">
        <v>8000000</v>
      </c>
      <c r="E47" s="326"/>
      <c r="F47" s="296"/>
      <c r="G47" s="274">
        <f t="shared" si="1"/>
        <v>8000000</v>
      </c>
    </row>
    <row r="48" spans="1:7" ht="54" customHeight="1">
      <c r="A48" s="185"/>
      <c r="B48" s="238" t="s">
        <v>541</v>
      </c>
      <c r="C48" s="292" t="s">
        <v>542</v>
      </c>
      <c r="D48" s="299">
        <v>1000000</v>
      </c>
      <c r="E48" s="326"/>
      <c r="F48" s="291"/>
      <c r="G48" s="274">
        <f t="shared" si="1"/>
        <v>1000000</v>
      </c>
    </row>
    <row r="49" spans="1:7" ht="49.5" customHeight="1">
      <c r="A49" s="185"/>
      <c r="B49" s="179" t="s">
        <v>737</v>
      </c>
      <c r="C49" s="292" t="s">
        <v>738</v>
      </c>
      <c r="D49" s="297">
        <v>4500000</v>
      </c>
      <c r="E49" s="326"/>
      <c r="F49" s="298"/>
      <c r="G49" s="274">
        <f t="shared" si="1"/>
        <v>4500000</v>
      </c>
    </row>
    <row r="50" spans="1:7" ht="17.25" customHeight="1">
      <c r="A50" s="185"/>
      <c r="B50" s="172">
        <v>742251</v>
      </c>
      <c r="C50" s="300" t="s">
        <v>543</v>
      </c>
      <c r="D50" s="299">
        <v>250000</v>
      </c>
      <c r="E50" s="326"/>
      <c r="F50" s="291"/>
      <c r="G50" s="274">
        <f t="shared" si="1"/>
        <v>250000</v>
      </c>
    </row>
    <row r="51" spans="1:7" ht="32.25" customHeight="1">
      <c r="A51" s="185"/>
      <c r="B51" s="172">
        <v>742253</v>
      </c>
      <c r="C51" s="287" t="s">
        <v>42</v>
      </c>
      <c r="D51" s="269">
        <v>2000000</v>
      </c>
      <c r="E51" s="326"/>
      <c r="F51" s="275"/>
      <c r="G51" s="274">
        <f t="shared" si="1"/>
        <v>2000000</v>
      </c>
    </row>
    <row r="52" spans="1:7" ht="32.25" customHeight="1">
      <c r="A52" s="185"/>
      <c r="B52" s="286">
        <v>742255</v>
      </c>
      <c r="C52" s="289" t="s">
        <v>749</v>
      </c>
      <c r="D52" s="290">
        <v>3500000</v>
      </c>
      <c r="E52" s="326"/>
      <c r="F52" s="291"/>
      <c r="G52" s="274">
        <f t="shared" si="1"/>
        <v>3500000</v>
      </c>
    </row>
    <row r="53" spans="1:7" ht="32.25" customHeight="1">
      <c r="A53" s="185"/>
      <c r="B53" s="232" t="s">
        <v>752</v>
      </c>
      <c r="C53" s="288" t="s">
        <v>754</v>
      </c>
      <c r="D53" s="269">
        <v>2000000</v>
      </c>
      <c r="E53" s="326"/>
      <c r="F53" s="275"/>
      <c r="G53" s="274">
        <f t="shared" si="1"/>
        <v>2000000</v>
      </c>
    </row>
    <row r="54" spans="1:7" ht="36.75" customHeight="1">
      <c r="A54" s="176" t="s">
        <v>544</v>
      </c>
      <c r="B54" s="177"/>
      <c r="C54" s="178" t="s">
        <v>545</v>
      </c>
      <c r="D54" s="293">
        <f>SUM(D55:D57)</f>
        <v>350000</v>
      </c>
      <c r="E54" s="294">
        <f>SUM(E55:E57)</f>
        <v>0</v>
      </c>
      <c r="F54" s="294">
        <f>SUM(F55:F57)</f>
        <v>0</v>
      </c>
      <c r="G54" s="274">
        <f t="shared" si="1"/>
        <v>350000</v>
      </c>
    </row>
    <row r="55" spans="1:9" s="800" customFormat="1" ht="48">
      <c r="A55" s="793"/>
      <c r="B55" s="794" t="s">
        <v>546</v>
      </c>
      <c r="C55" s="795" t="s">
        <v>547</v>
      </c>
      <c r="D55" s="796">
        <v>0</v>
      </c>
      <c r="E55" s="797"/>
      <c r="F55" s="798"/>
      <c r="G55" s="799">
        <f t="shared" si="1"/>
        <v>0</v>
      </c>
      <c r="I55" s="800" t="s">
        <v>900</v>
      </c>
    </row>
    <row r="56" spans="1:7" ht="28.5" customHeight="1">
      <c r="A56" s="185"/>
      <c r="B56" s="179" t="s">
        <v>548</v>
      </c>
      <c r="C56" s="292" t="s">
        <v>549</v>
      </c>
      <c r="D56" s="297">
        <v>150000</v>
      </c>
      <c r="E56" s="326"/>
      <c r="F56" s="298"/>
      <c r="G56" s="274">
        <f t="shared" si="1"/>
        <v>150000</v>
      </c>
    </row>
    <row r="57" spans="1:7" ht="28.5" customHeight="1">
      <c r="A57" s="185"/>
      <c r="B57" s="232" t="s">
        <v>751</v>
      </c>
      <c r="C57" s="171" t="s">
        <v>755</v>
      </c>
      <c r="D57" s="269">
        <v>200000</v>
      </c>
      <c r="E57" s="326"/>
      <c r="F57" s="275"/>
      <c r="G57" s="274">
        <f t="shared" si="1"/>
        <v>200000</v>
      </c>
    </row>
    <row r="58" spans="1:7" ht="36">
      <c r="A58" s="176" t="s">
        <v>550</v>
      </c>
      <c r="B58" s="177"/>
      <c r="C58" s="178" t="s">
        <v>551</v>
      </c>
      <c r="D58" s="254">
        <f>SUM(D59:D59)</f>
        <v>1430000</v>
      </c>
      <c r="E58" s="276">
        <f>SUM(E59:E59)</f>
        <v>0</v>
      </c>
      <c r="F58" s="276">
        <f>SUM(F59:F59)</f>
        <v>0</v>
      </c>
      <c r="G58" s="274">
        <f t="shared" si="1"/>
        <v>1430000</v>
      </c>
    </row>
    <row r="59" spans="1:7" ht="44.25" customHeight="1">
      <c r="A59" s="185"/>
      <c r="B59" s="189" t="s">
        <v>552</v>
      </c>
      <c r="C59" s="171" t="s">
        <v>553</v>
      </c>
      <c r="D59" s="269">
        <v>1430000</v>
      </c>
      <c r="E59" s="322"/>
      <c r="F59" s="275"/>
      <c r="G59" s="274">
        <f t="shared" si="1"/>
        <v>1430000</v>
      </c>
    </row>
    <row r="60" spans="1:7" ht="24">
      <c r="A60" s="176" t="s">
        <v>554</v>
      </c>
      <c r="B60" s="177"/>
      <c r="C60" s="178" t="s">
        <v>555</v>
      </c>
      <c r="D60" s="254">
        <f>SUM(D61:D62)</f>
        <v>3461424</v>
      </c>
      <c r="E60" s="276">
        <f>SUM(E61:E62)</f>
        <v>100000</v>
      </c>
      <c r="F60" s="276">
        <f>SUM(F61:F62)</f>
        <v>0</v>
      </c>
      <c r="G60" s="274">
        <f t="shared" si="1"/>
        <v>3561424</v>
      </c>
    </row>
    <row r="61" spans="1:7" ht="15" customHeight="1">
      <c r="A61" s="185"/>
      <c r="B61" s="179" t="s">
        <v>556</v>
      </c>
      <c r="C61" s="184" t="s">
        <v>557</v>
      </c>
      <c r="D61" s="310">
        <v>3211424</v>
      </c>
      <c r="E61" s="326">
        <v>100000</v>
      </c>
      <c r="F61" s="275">
        <v>0</v>
      </c>
      <c r="G61" s="274">
        <f t="shared" si="1"/>
        <v>3311424</v>
      </c>
    </row>
    <row r="62" spans="1:7" ht="48">
      <c r="A62" s="185"/>
      <c r="B62" s="179" t="s">
        <v>558</v>
      </c>
      <c r="C62" s="184" t="s">
        <v>559</v>
      </c>
      <c r="D62" s="269">
        <v>250000</v>
      </c>
      <c r="E62" s="322"/>
      <c r="F62" s="275"/>
      <c r="G62" s="274">
        <f t="shared" si="1"/>
        <v>250000</v>
      </c>
    </row>
    <row r="63" spans="1:7" ht="24">
      <c r="A63" s="190" t="s">
        <v>560</v>
      </c>
      <c r="B63" s="191"/>
      <c r="C63" s="192" t="s">
        <v>561</v>
      </c>
      <c r="D63" s="256">
        <f>SUM(D64)</f>
        <v>200000</v>
      </c>
      <c r="E63" s="279">
        <f>SUM(E64)</f>
        <v>0</v>
      </c>
      <c r="F63" s="279">
        <f>SUM(F64)</f>
        <v>0</v>
      </c>
      <c r="G63" s="274">
        <f t="shared" si="1"/>
        <v>200000</v>
      </c>
    </row>
    <row r="64" spans="1:7" ht="14.25" customHeight="1">
      <c r="A64" s="185"/>
      <c r="B64" s="188" t="s">
        <v>803</v>
      </c>
      <c r="C64" s="184" t="s">
        <v>49</v>
      </c>
      <c r="D64" s="269">
        <v>200000</v>
      </c>
      <c r="E64" s="322"/>
      <c r="F64" s="275"/>
      <c r="G64" s="274">
        <f t="shared" si="1"/>
        <v>200000</v>
      </c>
    </row>
    <row r="65" spans="1:7" ht="36">
      <c r="A65" s="193" t="s">
        <v>562</v>
      </c>
      <c r="B65" s="194"/>
      <c r="C65" s="195" t="s">
        <v>563</v>
      </c>
      <c r="D65" s="257">
        <f>D66+D69</f>
        <v>2000000</v>
      </c>
      <c r="E65" s="280">
        <f>E66+E69</f>
        <v>0</v>
      </c>
      <c r="F65" s="280">
        <f>F66+F69</f>
        <v>0</v>
      </c>
      <c r="G65" s="274">
        <f t="shared" si="1"/>
        <v>2000000</v>
      </c>
    </row>
    <row r="66" spans="1:7" ht="15">
      <c r="A66" s="196">
        <v>810000</v>
      </c>
      <c r="B66" s="191"/>
      <c r="C66" s="197" t="s">
        <v>564</v>
      </c>
      <c r="D66" s="256">
        <f>SUM(D67:D68)</f>
        <v>2000000</v>
      </c>
      <c r="E66" s="279">
        <f>SUM(E67:E68)</f>
        <v>0</v>
      </c>
      <c r="F66" s="279">
        <f>SUM(F67:F68)</f>
        <v>0</v>
      </c>
      <c r="G66" s="274">
        <f t="shared" si="1"/>
        <v>2000000</v>
      </c>
    </row>
    <row r="67" spans="1:7" ht="15">
      <c r="A67" s="185"/>
      <c r="B67" s="187">
        <v>8111151</v>
      </c>
      <c r="C67" s="187" t="s">
        <v>565</v>
      </c>
      <c r="D67" s="460">
        <v>0</v>
      </c>
      <c r="E67" s="322"/>
      <c r="F67" s="275"/>
      <c r="G67" s="274">
        <f t="shared" si="1"/>
        <v>0</v>
      </c>
    </row>
    <row r="68" spans="1:7" ht="24.75">
      <c r="A68" s="185"/>
      <c r="B68" s="233" t="s">
        <v>756</v>
      </c>
      <c r="C68" s="234" t="s">
        <v>757</v>
      </c>
      <c r="D68" s="269">
        <v>2000000</v>
      </c>
      <c r="E68" s="326"/>
      <c r="F68" s="275"/>
      <c r="G68" s="274">
        <f t="shared" si="1"/>
        <v>2000000</v>
      </c>
    </row>
    <row r="69" spans="1:7" ht="24.75">
      <c r="A69" s="196">
        <v>840000</v>
      </c>
      <c r="B69" s="198"/>
      <c r="C69" s="199" t="s">
        <v>566</v>
      </c>
      <c r="D69" s="258">
        <f>SUM(D70)</f>
        <v>0</v>
      </c>
      <c r="E69" s="281">
        <f>SUM(E70)</f>
        <v>0</v>
      </c>
      <c r="F69" s="281">
        <f>SUM(F70)</f>
        <v>0</v>
      </c>
      <c r="G69" s="274">
        <f t="shared" si="1"/>
        <v>0</v>
      </c>
    </row>
    <row r="70" spans="1:7" ht="15">
      <c r="A70" s="185"/>
      <c r="B70" s="187">
        <v>841000</v>
      </c>
      <c r="C70" s="187" t="s">
        <v>567</v>
      </c>
      <c r="D70" s="339">
        <v>0</v>
      </c>
      <c r="E70" s="326"/>
      <c r="F70" s="275"/>
      <c r="G70" s="274">
        <f t="shared" si="1"/>
        <v>0</v>
      </c>
    </row>
    <row r="71" spans="1:7" ht="15">
      <c r="A71" s="193" t="s">
        <v>568</v>
      </c>
      <c r="B71" s="200"/>
      <c r="C71" s="201" t="s">
        <v>569</v>
      </c>
      <c r="D71" s="259">
        <f>SUM(D72,D74)</f>
        <v>0</v>
      </c>
      <c r="E71" s="282">
        <f>SUM(E72,E74)</f>
        <v>0</v>
      </c>
      <c r="F71" s="282">
        <f>SUM(F72,F74)</f>
        <v>0</v>
      </c>
      <c r="G71" s="274">
        <f t="shared" si="1"/>
        <v>0</v>
      </c>
    </row>
    <row r="72" spans="1:7" ht="24">
      <c r="A72" s="190" t="s">
        <v>570</v>
      </c>
      <c r="B72" s="191"/>
      <c r="C72" s="192" t="s">
        <v>571</v>
      </c>
      <c r="D72" s="260">
        <f>SUM(D73:D73)</f>
        <v>0</v>
      </c>
      <c r="E72" s="260">
        <f>SUM(E73:E73)</f>
        <v>0</v>
      </c>
      <c r="F72" s="260">
        <f>SUM(F73:F73)</f>
        <v>0</v>
      </c>
      <c r="G72" s="274">
        <f t="shared" si="1"/>
        <v>0</v>
      </c>
    </row>
    <row r="73" spans="1:7" ht="34.5" customHeight="1">
      <c r="A73" s="175"/>
      <c r="B73" s="202" t="s">
        <v>572</v>
      </c>
      <c r="C73" s="171" t="s">
        <v>573</v>
      </c>
      <c r="D73" s="461"/>
      <c r="E73" s="285">
        <v>0</v>
      </c>
      <c r="F73" s="285"/>
      <c r="G73" s="274">
        <f>SUM(D73:F73)</f>
        <v>0</v>
      </c>
    </row>
    <row r="74" spans="1:7" ht="15.75" customHeight="1">
      <c r="A74" s="190" t="s">
        <v>574</v>
      </c>
      <c r="B74" s="191"/>
      <c r="C74" s="192" t="s">
        <v>575</v>
      </c>
      <c r="D74" s="261"/>
      <c r="E74" s="270"/>
      <c r="F74" s="270"/>
      <c r="G74" s="274">
        <f t="shared" si="1"/>
        <v>0</v>
      </c>
    </row>
    <row r="75" spans="1:7" ht="33.75" customHeight="1">
      <c r="A75" s="249"/>
      <c r="B75" s="250" t="s">
        <v>576</v>
      </c>
      <c r="C75" s="251" t="s">
        <v>577</v>
      </c>
      <c r="D75" s="262">
        <f>SUM(D5,D65,D71)</f>
        <v>602919500</v>
      </c>
      <c r="E75" s="262">
        <f>SUM(E5,E65,E71)</f>
        <v>100000</v>
      </c>
      <c r="F75" s="262">
        <f>SUM(F5,F65,F71)</f>
        <v>0</v>
      </c>
      <c r="G75" s="274">
        <f t="shared" si="1"/>
        <v>603019500</v>
      </c>
    </row>
    <row r="76" spans="1:7" ht="40.5" customHeight="1" thickBot="1">
      <c r="A76" s="414"/>
      <c r="B76" s="415" t="s">
        <v>578</v>
      </c>
      <c r="C76" s="416" t="s">
        <v>579</v>
      </c>
      <c r="D76" s="417">
        <f>SUM(D4,D5,D65,D71)</f>
        <v>602919500</v>
      </c>
      <c r="E76" s="417">
        <f>SUM(E4,E5,E65,E71)</f>
        <v>100000</v>
      </c>
      <c r="F76" s="417">
        <f>SUM(F4,F5,F65,F71)</f>
        <v>0</v>
      </c>
      <c r="G76" s="418">
        <f t="shared" si="1"/>
        <v>603019500</v>
      </c>
    </row>
    <row r="78" ht="15">
      <c r="D78" s="801"/>
    </row>
  </sheetData>
  <sheetProtection/>
  <mergeCells count="5">
    <mergeCell ref="C1:G1"/>
    <mergeCell ref="A2:A3"/>
    <mergeCell ref="B2:B3"/>
    <mergeCell ref="C2:C3"/>
    <mergeCell ref="D2:G2"/>
  </mergeCells>
  <printOptions/>
  <pageMargins left="0.42" right="0.16" top="0.32" bottom="0.22" header="0.2" footer="0.17"/>
  <pageSetup fitToHeight="4" horizontalDpi="600" verticalDpi="600" orientation="portrait" scale="80" r:id="rId3"/>
  <headerFooter scaleWithDoc="0" alignWithMargins="0">
    <oddFooter>&amp;L&amp;P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J86"/>
  <sheetViews>
    <sheetView view="pageBreakPreview" zoomScaleSheetLayoutView="100" zoomScalePageLayoutView="0" workbookViewId="0" topLeftCell="A67">
      <selection activeCell="E18" sqref="E18"/>
    </sheetView>
  </sheetViews>
  <sheetFormatPr defaultColWidth="9.140625" defaultRowHeight="15"/>
  <cols>
    <col min="1" max="1" width="7.00390625" style="47" customWidth="1"/>
    <col min="2" max="2" width="33.00390625" style="47" customWidth="1"/>
    <col min="3" max="3" width="15.421875" style="47" customWidth="1"/>
    <col min="4" max="4" width="12.421875" style="47" customWidth="1"/>
    <col min="5" max="5" width="11.421875" style="47" customWidth="1"/>
    <col min="6" max="10" width="13.140625" style="47" customWidth="1"/>
    <col min="11" max="16384" width="9.140625" style="47" customWidth="1"/>
  </cols>
  <sheetData>
    <row r="1" spans="1:3" ht="35.25" customHeight="1">
      <c r="A1" s="852" t="s">
        <v>886</v>
      </c>
      <c r="B1" s="852"/>
      <c r="C1" s="852"/>
    </row>
    <row r="2" spans="1:3" ht="15">
      <c r="A2" s="50"/>
      <c r="B2" s="51"/>
      <c r="C2" s="52"/>
    </row>
    <row r="3" spans="1:10" ht="33">
      <c r="A3" s="60" t="s">
        <v>240</v>
      </c>
      <c r="B3" s="60" t="s">
        <v>241</v>
      </c>
      <c r="C3" s="316" t="s">
        <v>887</v>
      </c>
      <c r="D3" s="316" t="s">
        <v>888</v>
      </c>
      <c r="E3" s="316" t="s">
        <v>889</v>
      </c>
      <c r="F3" s="61" t="s">
        <v>890</v>
      </c>
      <c r="G3" s="331"/>
      <c r="H3" s="331"/>
      <c r="I3" s="331"/>
      <c r="J3" s="331"/>
    </row>
    <row r="4" spans="1:10" ht="15">
      <c r="A4" s="62" t="s">
        <v>242</v>
      </c>
      <c r="B4" s="63">
        <v>2</v>
      </c>
      <c r="C4" s="64">
        <v>3</v>
      </c>
      <c r="D4" s="317">
        <v>4</v>
      </c>
      <c r="E4" s="317"/>
      <c r="F4" s="317">
        <v>5</v>
      </c>
      <c r="G4" s="317"/>
      <c r="H4" s="317"/>
      <c r="I4" s="317"/>
      <c r="J4" s="317"/>
    </row>
    <row r="5" spans="1:10" ht="15">
      <c r="A5" s="93" t="s">
        <v>172</v>
      </c>
      <c r="B5" s="94" t="s">
        <v>380</v>
      </c>
      <c r="C5" s="95">
        <f>SUM(C6,C14,C21,C27,C32,C38,C45,C47,C54)</f>
        <v>564984500</v>
      </c>
      <c r="D5" s="95">
        <f>SUM(D6,D14,D21,D27,D32,D38,D45,D47,D54)</f>
        <v>0</v>
      </c>
      <c r="E5" s="95">
        <f>SUM(E6,E14,E21,E27,E32,E38,E45,E47,E54)</f>
        <v>0</v>
      </c>
      <c r="F5" s="95">
        <f>SUM(F6,F14,F21,F27,F32,F38,F45,F47,F54)</f>
        <v>564902500</v>
      </c>
      <c r="G5" s="332"/>
      <c r="H5" s="332"/>
      <c r="I5" s="332"/>
      <c r="J5" s="332"/>
    </row>
    <row r="6" spans="1:10" ht="33" customHeight="1">
      <c r="A6" s="66" t="s">
        <v>243</v>
      </c>
      <c r="B6" s="67" t="s">
        <v>244</v>
      </c>
      <c r="C6" s="68">
        <f>SUM(C7:C13)</f>
        <v>195347500</v>
      </c>
      <c r="D6" s="68">
        <f>SUM(D7:D13)</f>
        <v>0</v>
      </c>
      <c r="E6" s="68"/>
      <c r="F6" s="68">
        <f>SUM(F7:F13)</f>
        <v>195265500</v>
      </c>
      <c r="G6" s="333"/>
      <c r="H6" s="333"/>
      <c r="I6" s="333"/>
      <c r="J6" s="333"/>
    </row>
    <row r="7" spans="1:10" ht="15">
      <c r="A7" s="69">
        <v>411</v>
      </c>
      <c r="B7" s="70" t="s">
        <v>286</v>
      </c>
      <c r="C7" s="65">
        <f>SUMIF('ПО КОРИСНИЦИМА'!$F$5:$F$1326,'По основ. нам.'!A7,'ПО КОРИСНИЦИМА'!$H$5:$H$1326)</f>
        <v>157857500</v>
      </c>
      <c r="D7" s="65">
        <f>SUMIF('ПО КОРИСНИЦИМА'!$F$5:$F$1326,'По основ. нам.'!A7,'ПО КОРИСНИЦИМА'!$I$5:$I$1326)</f>
        <v>0</v>
      </c>
      <c r="E7" s="65"/>
      <c r="F7" s="65">
        <f>SUMIF('ПО КОРИСНИЦИМА'!$F$5:$F$1326,'По основ. нам.'!A7,'ПО КОРИСНИЦИМА'!$K$5:$K$1326)</f>
        <v>157857500</v>
      </c>
      <c r="G7" s="334"/>
      <c r="H7" s="334"/>
      <c r="I7" s="334"/>
      <c r="J7" s="334"/>
    </row>
    <row r="8" spans="1:10" ht="15">
      <c r="A8" s="69">
        <v>412</v>
      </c>
      <c r="B8" s="70" t="s">
        <v>287</v>
      </c>
      <c r="C8" s="65">
        <f>SUMIF('ПО КОРИСНИЦИМА'!$F$5:$F$1326,'По основ. нам.'!A8,'ПО КОРИСНИЦИМА'!$H$5:$H$1326)</f>
        <v>30433000</v>
      </c>
      <c r="D8" s="65">
        <f>SUMIF('ПО КОРИСНИЦИМА'!$F$5:$F$1326,'По основ. нам.'!A8,'ПО КОРИСНИЦИМА'!$I$5:$I$1326)</f>
        <v>0</v>
      </c>
      <c r="E8" s="65"/>
      <c r="F8" s="65">
        <f>SUMIF('ПО КОРИСНИЦИМА'!$F$5:$F$1326,'По основ. нам.'!A8,'ПО КОРИСНИЦИМА'!$K$5:$K$1326)</f>
        <v>30433000</v>
      </c>
      <c r="G8" s="334"/>
      <c r="H8" s="334"/>
      <c r="I8" s="334"/>
      <c r="J8" s="334"/>
    </row>
    <row r="9" spans="1:10" ht="15">
      <c r="A9" s="71">
        <v>413</v>
      </c>
      <c r="B9" s="70" t="s">
        <v>288</v>
      </c>
      <c r="C9" s="65">
        <f>SUMIF('ПО КОРИСНИЦИМА'!$F$5:$F$1326,'По основ. нам.'!A9,'ПО КОРИСНИЦИМА'!$H$5:$H$1326)</f>
        <v>842000</v>
      </c>
      <c r="D9" s="65">
        <f>SUMIF('ПО КОРИСНИЦИМА'!$F$5:$F$1326,'По основ. нам.'!A9,'ПО КОРИСНИЦИМА'!$I$5:$I$1326)</f>
        <v>0</v>
      </c>
      <c r="E9" s="65"/>
      <c r="F9" s="65">
        <f>SUMIF('ПО КОРИСНИЦИМА'!$F$5:$F$1326,'По основ. нам.'!A9,'ПО КОРИСНИЦИМА'!$K$5:$K$1326)</f>
        <v>760000</v>
      </c>
      <c r="G9" s="334"/>
      <c r="H9" s="334"/>
      <c r="I9" s="334"/>
      <c r="J9" s="334"/>
    </row>
    <row r="10" spans="1:10" ht="15">
      <c r="A10" s="69" t="s">
        <v>289</v>
      </c>
      <c r="B10" s="70" t="s">
        <v>290</v>
      </c>
      <c r="C10" s="65">
        <f>SUMIF('ПО КОРИСНИЦИМА'!$F$5:$F$1326,'По основ. нам.'!A10,'ПО КОРИСНИЦИМА'!$H$5:$H$1326)</f>
        <v>1891000</v>
      </c>
      <c r="D10" s="65">
        <f>SUMIF('ПО КОРИСНИЦИМА'!$F$5:$F$1326,'По основ. нам.'!A10,'ПО КОРИСНИЦИМА'!$I$5:$I$1326)</f>
        <v>0</v>
      </c>
      <c r="E10" s="65"/>
      <c r="F10" s="65">
        <f>SUMIF('ПО КОРИСНИЦИМА'!$F$5:$F$1326,'По основ. нам.'!A10,'ПО КОРИСНИЦИМА'!$K$5:$K$1326)</f>
        <v>1891000</v>
      </c>
      <c r="G10" s="334"/>
      <c r="H10" s="334"/>
      <c r="I10" s="334"/>
      <c r="J10" s="334"/>
    </row>
    <row r="11" spans="1:10" ht="15">
      <c r="A11" s="69" t="s">
        <v>291</v>
      </c>
      <c r="B11" s="70" t="s">
        <v>292</v>
      </c>
      <c r="C11" s="65">
        <f>SUMIF('ПО КОРИСНИЦИМА'!$F$5:$F$1326,'По основ. нам.'!A11,'ПО КОРИСНИЦИМА'!$H$5:$H$1326)</f>
        <v>1898000</v>
      </c>
      <c r="D11" s="65">
        <f>SUMIF('ПО КОРИСНИЦИМА'!$F$5:$F$1326,'По основ. нам.'!A11,'ПО КОРИСНИЦИМА'!$I$5:$I$1326)</f>
        <v>0</v>
      </c>
      <c r="E11" s="65"/>
      <c r="F11" s="65">
        <f>SUMIF('ПО КОРИСНИЦИМА'!$F$5:$F$1326,'По основ. нам.'!A11,'ПО КОРИСНИЦИМА'!$K$5:$K$1326)</f>
        <v>1898000</v>
      </c>
      <c r="G11" s="334"/>
      <c r="H11" s="334"/>
      <c r="I11" s="334"/>
      <c r="J11" s="334"/>
    </row>
    <row r="12" spans="1:10" ht="15">
      <c r="A12" s="69" t="s">
        <v>293</v>
      </c>
      <c r="B12" s="70" t="s">
        <v>294</v>
      </c>
      <c r="C12" s="65">
        <f>SUMIF('ПО КОРИСНИЦИМА'!$F$5:$F$1326,'По основ. нам.'!A12,'ПО КОРИСНИЦИМА'!$H$5:$H$1326)</f>
        <v>2426000</v>
      </c>
      <c r="D12" s="65">
        <f>SUMIF('ПО КОРИСНИЦИМА'!$F$5:$F$1326,'По основ. нам.'!A12,'ПО КОРИСНИЦИМА'!$I$5:$I$1326)</f>
        <v>0</v>
      </c>
      <c r="E12" s="65"/>
      <c r="F12" s="65">
        <f>SUMIF('ПО КОРИСНИЦИМА'!$F$5:$F$1326,'По основ. нам.'!A12,'ПО КОРИСНИЦИМА'!$H$5:$H$1326)</f>
        <v>2426000</v>
      </c>
      <c r="G12" s="334"/>
      <c r="H12" s="334"/>
      <c r="I12" s="334"/>
      <c r="J12" s="334"/>
    </row>
    <row r="13" spans="1:10" ht="15">
      <c r="A13" s="69">
        <v>417</v>
      </c>
      <c r="B13" s="70" t="s">
        <v>295</v>
      </c>
      <c r="C13" s="65">
        <f>SUMIF('ПО КОРИСНИЦИМА'!$F$5:$F$1326,'По основ. нам.'!A13,'ПО КОРИСНИЦИМА'!$H$5:$H$1326)</f>
        <v>0</v>
      </c>
      <c r="D13" s="65">
        <f>SUMIF('ПО КОРИСНИЦИМА'!$F$5:$F$1326,'По основ. нам.'!A13,'ПО КОРИСНИЦИМА'!$I$5:$I$1326)</f>
        <v>0</v>
      </c>
      <c r="E13" s="65"/>
      <c r="F13" s="65">
        <f>SUMIF('ПО КОРИСНИЦИМА'!$F$5:$F$1326,'По основ. нам.'!A13,'ПО КОРИСНИЦИМА'!$K$5:$K$1326)</f>
        <v>0</v>
      </c>
      <c r="G13" s="334"/>
      <c r="H13" s="334"/>
      <c r="I13" s="334"/>
      <c r="J13" s="334"/>
    </row>
    <row r="14" spans="1:10" ht="15">
      <c r="A14" s="66" t="s">
        <v>296</v>
      </c>
      <c r="B14" s="67" t="s">
        <v>297</v>
      </c>
      <c r="C14" s="68">
        <f>SUM(C15:C20)</f>
        <v>216210000</v>
      </c>
      <c r="D14" s="68">
        <f>SUM(D15:D20)</f>
        <v>0</v>
      </c>
      <c r="E14" s="68">
        <f>SUM(E15:E20)</f>
        <v>0</v>
      </c>
      <c r="F14" s="68">
        <f>SUM(F15:F20)</f>
        <v>216210000</v>
      </c>
      <c r="G14" s="333"/>
      <c r="H14" s="333"/>
      <c r="I14" s="333"/>
      <c r="J14" s="333"/>
    </row>
    <row r="15" spans="1:10" ht="15">
      <c r="A15" s="69" t="s">
        <v>298</v>
      </c>
      <c r="B15" s="70" t="s">
        <v>299</v>
      </c>
      <c r="C15" s="65">
        <f>SUMIF('ПО КОРИСНИЦИМА'!$F$5:$F$2081,'По основ. нам.'!A15,'ПО КОРИСНИЦИМА'!$H$5:$H$2081)</f>
        <v>62550000</v>
      </c>
      <c r="D15" s="65">
        <f>SUMIF('ПО КОРИСНИЦИМА'!$F$5:$F$2081,'По основ. нам.'!A15,'ПО КОРИСНИЦИМА'!$I$5:$I$2081)</f>
        <v>0</v>
      </c>
      <c r="E15" s="65"/>
      <c r="F15" s="65">
        <f>SUMIF('ПО КОРИСНИЦИМА'!$F$5:$F$2081,'По основ. нам.'!A15,'ПО КОРИСНИЦИМА'!$K$5:$K$2081)</f>
        <v>62550000</v>
      </c>
      <c r="G15" s="334"/>
      <c r="H15" s="334"/>
      <c r="I15" s="334"/>
      <c r="J15" s="334"/>
    </row>
    <row r="16" spans="1:10" ht="15">
      <c r="A16" s="69">
        <v>422</v>
      </c>
      <c r="B16" s="70" t="s">
        <v>300</v>
      </c>
      <c r="C16" s="65">
        <f>SUMIF('ПО КОРИСНИЦИМА'!$F$5:$F$1326,'По основ. нам.'!A16,'ПО КОРИСНИЦИМА'!$H$5:$H$1326)</f>
        <v>1770000</v>
      </c>
      <c r="D16" s="65">
        <f>SUMIF('ПО КОРИСНИЦИМА'!$F$5:$F$2081,'По основ. нам.'!A16,'ПО КОРИСНИЦИМА'!$I$5:$I$2081)</f>
        <v>0</v>
      </c>
      <c r="E16" s="65"/>
      <c r="F16" s="65">
        <f>SUMIF('ПО КОРИСНИЦИМА'!$F$5:$F$2081,'По основ. нам.'!A16,'ПО КОРИСНИЦИМА'!$K$5:$K$2081)</f>
        <v>1770000</v>
      </c>
      <c r="G16" s="334"/>
      <c r="H16" s="334"/>
      <c r="I16" s="334"/>
      <c r="J16" s="334"/>
    </row>
    <row r="17" spans="1:10" ht="15">
      <c r="A17" s="69">
        <v>423</v>
      </c>
      <c r="B17" s="70" t="s">
        <v>301</v>
      </c>
      <c r="C17" s="65">
        <f>SUMIF('ПО КОРИСНИЦИМА'!$F$5:$F$1326,'По основ. нам.'!A17,'ПО КОРИСНИЦИМА'!$H$5:$H$1326)</f>
        <v>63490000</v>
      </c>
      <c r="D17" s="65">
        <f>SUMIF('ПО КОРИСНИЦИМА'!$F$5:$F$2081,'По основ. нам.'!A17,'ПО КОРИСНИЦИМА'!$I$5:$I$2081)</f>
        <v>0</v>
      </c>
      <c r="E17" s="65" t="s">
        <v>881</v>
      </c>
      <c r="F17" s="65">
        <f>SUMIF('ПО КОРИСНИЦИМА'!$F$5:$F$2081,'По основ. нам.'!A17,'ПО КОРИСНИЦИМА'!$K$5:$K$2081)</f>
        <v>63490000</v>
      </c>
      <c r="G17" s="334"/>
      <c r="H17" s="334"/>
      <c r="I17" s="334"/>
      <c r="J17" s="334"/>
    </row>
    <row r="18" spans="1:10" ht="15">
      <c r="A18" s="69" t="s">
        <v>302</v>
      </c>
      <c r="B18" s="70" t="s">
        <v>303</v>
      </c>
      <c r="C18" s="65">
        <f>SUMIF('ПО КОРИСНИЦИМА'!$F$5:$F$1326,'По основ. нам.'!A18,'ПО КОРИСНИЦИМА'!$H$5:$H$1326)</f>
        <v>40700000</v>
      </c>
      <c r="D18" s="65">
        <f>SUMIF('ПО КОРИСНИЦИМА'!$F$5:$F$2081,'По основ. нам.'!A18,'ПО КОРИСНИЦИМА'!$I$5:$I$2081)</f>
        <v>0</v>
      </c>
      <c r="E18" s="65"/>
      <c r="F18" s="65">
        <f>SUMIF('ПО КОРИСНИЦИМА'!$F$5:$F$2081,'По основ. нам.'!A18,'ПО КОРИСНИЦИМА'!$K$5:$K$2081)</f>
        <v>40700000</v>
      </c>
      <c r="G18" s="334"/>
      <c r="H18" s="334"/>
      <c r="I18" s="334"/>
      <c r="J18" s="334"/>
    </row>
    <row r="19" spans="1:10" ht="15">
      <c r="A19" s="69" t="s">
        <v>304</v>
      </c>
      <c r="B19" s="70" t="s">
        <v>305</v>
      </c>
      <c r="C19" s="65">
        <f>SUMIF('ПО КОРИСНИЦИМА'!$F$5:$F$1326,'По основ. нам.'!A19,'ПО КОРИСНИЦИМА'!$H$5:$H$1326)</f>
        <v>27700000</v>
      </c>
      <c r="D19" s="65">
        <f>SUMIF('ПО КОРИСНИЦИМА'!$F$5:$F$2081,'По основ. нам.'!A19,'ПО КОРИСНИЦИМА'!$I$5:$I$2081)</f>
        <v>0</v>
      </c>
      <c r="E19" s="65"/>
      <c r="F19" s="65">
        <f>SUMIF('ПО КОРИСНИЦИМА'!$F$5:$F$1326,'По основ. нам.'!A19,'ПО КОРИСНИЦИМА'!$H$5:$H$1326)</f>
        <v>27700000</v>
      </c>
      <c r="G19" s="334"/>
      <c r="H19" s="334"/>
      <c r="I19" s="334"/>
      <c r="J19" s="334"/>
    </row>
    <row r="20" spans="1:10" ht="15">
      <c r="A20" s="69" t="s">
        <v>306</v>
      </c>
      <c r="B20" s="70" t="s">
        <v>307</v>
      </c>
      <c r="C20" s="65">
        <f>SUMIF('ПО КОРИСНИЦИМА'!$F$5:$F$2326,'По основ. нам.'!A20,'ПО КОРИСНИЦИМА'!$H$5:$H$2326)</f>
        <v>20000000</v>
      </c>
      <c r="D20" s="65">
        <f>SUMIF('ПО КОРИСНИЦИМА'!$F$5:$F$2081,'По основ. нам.'!A20,'ПО КОРИСНИЦИМА'!$I$5:$I$2081)</f>
        <v>0</v>
      </c>
      <c r="E20" s="65"/>
      <c r="F20" s="65">
        <f>SUMIF('ПО КОРИСНИЦИМА'!$F$5:$F$2326,'По основ. нам.'!A20,'ПО КОРИСНИЦИМА'!$K$5:$K$2326)</f>
        <v>20000000</v>
      </c>
      <c r="G20" s="334"/>
      <c r="H20" s="334"/>
      <c r="I20" s="334"/>
      <c r="J20" s="334"/>
    </row>
    <row r="21" spans="1:10" ht="15">
      <c r="A21" s="66" t="s">
        <v>308</v>
      </c>
      <c r="B21" s="67" t="s">
        <v>309</v>
      </c>
      <c r="C21" s="68">
        <f>SUM(C22:C26)</f>
        <v>0</v>
      </c>
      <c r="D21" s="68">
        <f>SUM(D22:D26)</f>
        <v>0</v>
      </c>
      <c r="E21" s="68"/>
      <c r="F21" s="68">
        <f>SUM(F22:F26)</f>
        <v>0</v>
      </c>
      <c r="G21" s="333"/>
      <c r="H21" s="333"/>
      <c r="I21" s="333"/>
      <c r="J21" s="333"/>
    </row>
    <row r="22" spans="1:10" ht="15">
      <c r="A22" s="69">
        <v>431</v>
      </c>
      <c r="B22" s="70" t="s">
        <v>310</v>
      </c>
      <c r="C22" s="65">
        <f>SUMIF('ПО КОРИСНИЦИМА'!$F$5:$F$642,'По основ. нам.'!A22,'ПО КОРИСНИЦИМА'!$H$5:$H$642)</f>
        <v>0</v>
      </c>
      <c r="D22" s="65"/>
      <c r="E22" s="65"/>
      <c r="F22" s="65">
        <f>SUMIF('ПО КОРИСНИЦИМА'!$F$5:$F$642,'По основ. нам.'!C22,'ПО КОРИСНИЦИМА'!$H$5:$H$642)</f>
        <v>0</v>
      </c>
      <c r="G22" s="334"/>
      <c r="H22" s="334"/>
      <c r="I22" s="334"/>
      <c r="J22" s="334"/>
    </row>
    <row r="23" spans="1:10" ht="15">
      <c r="A23" s="69">
        <v>432</v>
      </c>
      <c r="B23" s="70" t="s">
        <v>311</v>
      </c>
      <c r="C23" s="65">
        <f>SUMIF('ПО КОРИСНИЦИМА'!$F$5:$F$642,'По основ. нам.'!A23,'ПО КОРИСНИЦИМА'!$H$5:$H$642)</f>
        <v>0</v>
      </c>
      <c r="D23" s="65"/>
      <c r="E23" s="65"/>
      <c r="F23" s="65">
        <f>SUMIF('ПО КОРИСНИЦИМА'!$F$5:$F$642,'По основ. нам.'!C23,'ПО КОРИСНИЦИМА'!$H$5:$H$642)</f>
        <v>0</v>
      </c>
      <c r="G23" s="334"/>
      <c r="H23" s="334"/>
      <c r="I23" s="334"/>
      <c r="J23" s="334"/>
    </row>
    <row r="24" spans="1:10" ht="15">
      <c r="A24" s="69">
        <v>433</v>
      </c>
      <c r="B24" s="70" t="s">
        <v>312</v>
      </c>
      <c r="C24" s="65">
        <f>SUMIF('ПО КОРИСНИЦИМА'!$F$5:$F$642,'По основ. нам.'!A24,'ПО КОРИСНИЦИМА'!$H$5:$H$642)</f>
        <v>0</v>
      </c>
      <c r="D24" s="65"/>
      <c r="E24" s="65"/>
      <c r="F24" s="65">
        <f>SUMIF('ПО КОРИСНИЦИМА'!$F$5:$F$642,'По основ. нам.'!C24,'ПО КОРИСНИЦИМА'!$H$5:$H$642)</f>
        <v>0</v>
      </c>
      <c r="G24" s="334"/>
      <c r="H24" s="334"/>
      <c r="I24" s="334"/>
      <c r="J24" s="334"/>
    </row>
    <row r="25" spans="1:10" ht="15">
      <c r="A25" s="69">
        <v>434</v>
      </c>
      <c r="B25" s="70" t="s">
        <v>313</v>
      </c>
      <c r="C25" s="65">
        <f>SUMIF('ПО КОРИСНИЦИМА'!$F$5:$F$642,'По основ. нам.'!A25,'ПО КОРИСНИЦИМА'!$H$5:$H$642)</f>
        <v>0</v>
      </c>
      <c r="D25" s="65"/>
      <c r="E25" s="65"/>
      <c r="F25" s="65">
        <f>SUMIF('ПО КОРИСНИЦИМА'!$F$5:$F$642,'По основ. нам.'!C25,'ПО КОРИСНИЦИМА'!$H$5:$H$642)</f>
        <v>0</v>
      </c>
      <c r="G25" s="334"/>
      <c r="H25" s="334"/>
      <c r="I25" s="334"/>
      <c r="J25" s="334"/>
    </row>
    <row r="26" spans="1:10" ht="15">
      <c r="A26" s="69">
        <v>435</v>
      </c>
      <c r="B26" s="70" t="s">
        <v>314</v>
      </c>
      <c r="C26" s="65">
        <f>SUMIF('ПО КОРИСНИЦИМА'!$F$5:$F$642,'По основ. нам.'!A26,'ПО КОРИСНИЦИМА'!$H$5:$H$642)</f>
        <v>0</v>
      </c>
      <c r="D26" s="65"/>
      <c r="E26" s="65"/>
      <c r="F26" s="65">
        <f>SUMIF('ПО КОРИСНИЦИМА'!$F$5:$F$642,'По основ. нам.'!C26,'ПО КОРИСНИЦИМА'!$H$5:$H$642)</f>
        <v>0</v>
      </c>
      <c r="G26" s="334"/>
      <c r="H26" s="334"/>
      <c r="I26" s="334"/>
      <c r="J26" s="334"/>
    </row>
    <row r="27" spans="1:10" ht="15">
      <c r="A27" s="66" t="s">
        <v>315</v>
      </c>
      <c r="B27" s="67" t="s">
        <v>316</v>
      </c>
      <c r="C27" s="68">
        <f>SUM(C28:C31)</f>
        <v>10200000</v>
      </c>
      <c r="D27" s="68">
        <f>SUM(D28:D31)</f>
        <v>0</v>
      </c>
      <c r="E27" s="68"/>
      <c r="F27" s="68">
        <f>SUM(F28:F31)</f>
        <v>10200000</v>
      </c>
      <c r="G27" s="333"/>
      <c r="H27" s="333"/>
      <c r="I27" s="333"/>
      <c r="J27" s="333"/>
    </row>
    <row r="28" spans="1:10" ht="15">
      <c r="A28" s="69">
        <v>441</v>
      </c>
      <c r="B28" s="70" t="s">
        <v>317</v>
      </c>
      <c r="C28" s="65">
        <f>SUMIF('ПО КОРИСНИЦИМА'!$F$5:$F$2312,'По основ. нам.'!A28,'ПО КОРИСНИЦИМА'!$H$5:$H$2312)</f>
        <v>10000000</v>
      </c>
      <c r="D28" s="65">
        <f>SUMIF('ПО КОРИСНИЦИМА'!$F$5:$F$2312,'По основ. нам.'!A28,'ПО КОРИСНИЦИМА'!$I$5:$I$2312)</f>
        <v>0</v>
      </c>
      <c r="E28" s="65"/>
      <c r="F28" s="65">
        <f>SUMIF('ПО КОРИСНИЦИМА'!$F$5:$F$1326,'По основ. нам.'!A28,'ПО КОРИСНИЦИМА'!$K$5:$K$1326)</f>
        <v>10000000</v>
      </c>
      <c r="G28" s="334"/>
      <c r="H28" s="334"/>
      <c r="I28" s="334"/>
      <c r="J28" s="334"/>
    </row>
    <row r="29" spans="1:10" ht="15">
      <c r="A29" s="69">
        <v>442</v>
      </c>
      <c r="B29" s="70" t="s">
        <v>318</v>
      </c>
      <c r="C29" s="65">
        <f>SUMIF('ПО КОРИСНИЦИМА'!$F$5:$F$642,'По основ. нам.'!A29,'ПО КОРИСНИЦИМА'!$H$5:$H$642)</f>
        <v>0</v>
      </c>
      <c r="D29" s="65">
        <f>SUMIF('ПО КОРИСНИЦИМА'!$F$5:$F$2312,'По основ. нам.'!A29,'ПО КОРИСНИЦИМА'!$I$5:$I$2312)</f>
        <v>0</v>
      </c>
      <c r="E29" s="65"/>
      <c r="F29" s="65">
        <f>SUMIF('ПО КОРИСНИЦИМА'!$F$5:$F$1326,'По основ. нам.'!A29,'ПО КОРИСНИЦИМА'!$K$5:$K$1326)</f>
        <v>0</v>
      </c>
      <c r="G29" s="334"/>
      <c r="H29" s="334"/>
      <c r="I29" s="334"/>
      <c r="J29" s="334"/>
    </row>
    <row r="30" spans="1:10" ht="15">
      <c r="A30" s="69">
        <v>443</v>
      </c>
      <c r="B30" s="70" t="s">
        <v>107</v>
      </c>
      <c r="C30" s="65">
        <f>SUMIF('ПО КОРИСНИЦИМА'!$F$5:$F$642,'По основ. нам.'!A30,'ПО КОРИСНИЦИМА'!$H$5:$H$642)</f>
        <v>0</v>
      </c>
      <c r="D30" s="65">
        <f>SUMIF('ПО КОРИСНИЦИМА'!$F$5:$F$2312,'По основ. нам.'!A30,'ПО КОРИСНИЦИМА'!$I$5:$I$2312)</f>
        <v>0</v>
      </c>
      <c r="E30" s="65"/>
      <c r="F30" s="65">
        <f>SUMIF('ПО КОРИСНИЦИМА'!$F$5:$F$1326,'По основ. нам.'!A30,'ПО КОРИСНИЦИМА'!$K$5:$K$1326)</f>
        <v>0</v>
      </c>
      <c r="G30" s="334"/>
      <c r="H30" s="334"/>
      <c r="I30" s="334"/>
      <c r="J30" s="334"/>
    </row>
    <row r="31" spans="1:10" ht="15">
      <c r="A31" s="72">
        <v>444</v>
      </c>
      <c r="B31" s="73" t="s">
        <v>108</v>
      </c>
      <c r="C31" s="65">
        <f>SUMIF('ПО КОРИСНИЦИМА'!$F$5:$F$1326,'По основ. нам.'!A31,'ПО КОРИСНИЦИМА'!$H$5:$H$1326)</f>
        <v>200000</v>
      </c>
      <c r="D31" s="65">
        <f>SUMIF('ПО КОРИСНИЦИМА'!$F$5:$F$2312,'По основ. нам.'!A31,'ПО КОРИСНИЦИМА'!$I$5:$I$2312)</f>
        <v>0</v>
      </c>
      <c r="E31" s="65"/>
      <c r="F31" s="65">
        <f>SUMIF('ПО КОРИСНИЦИМА'!$F$5:$F$1326,'По основ. нам.'!A31,'ПО КОРИСНИЦИМА'!$K$5:$K$1326)</f>
        <v>200000</v>
      </c>
      <c r="G31" s="334"/>
      <c r="H31" s="334"/>
      <c r="I31" s="334"/>
      <c r="J31" s="334"/>
    </row>
    <row r="32" spans="1:10" ht="15">
      <c r="A32" s="66" t="s">
        <v>109</v>
      </c>
      <c r="B32" s="67" t="s">
        <v>110</v>
      </c>
      <c r="C32" s="68">
        <f>SUM(C33:C37)</f>
        <v>12500000</v>
      </c>
      <c r="D32" s="68">
        <f>SUM(D33:D37)</f>
        <v>0</v>
      </c>
      <c r="E32" s="68"/>
      <c r="F32" s="68">
        <f>SUM(F33:F37)</f>
        <v>12500000</v>
      </c>
      <c r="G32" s="333"/>
      <c r="H32" s="333"/>
      <c r="I32" s="333"/>
      <c r="J32" s="333"/>
    </row>
    <row r="33" spans="1:10" ht="15">
      <c r="A33" s="69" t="s">
        <v>777</v>
      </c>
      <c r="B33" s="74" t="s">
        <v>476</v>
      </c>
      <c r="C33" s="65">
        <f>SUMIF('ПО КОРИСНИЦИМА'!$F$5:$F$2326,'По основ. нам.'!A33,'ПО КОРИСНИЦИМА'!$H$5:$H$2326)</f>
        <v>2500000</v>
      </c>
      <c r="D33" s="65">
        <f>SUMIF('ПО КОРИСНИЦИМА'!$F$5:$F$2326,'По основ. нам.'!A33,'ПО КОРИСНИЦИМА'!$I$5:$I$2326)</f>
        <v>0</v>
      </c>
      <c r="E33" s="65"/>
      <c r="F33" s="65">
        <f>SUMIF('ПО КОРИСНИЦИМА'!$F$5:$F$2326,'По основ. нам.'!A33,'ПО КОРИСНИЦИМА'!$K$5:$K$2326)</f>
        <v>2500000</v>
      </c>
      <c r="G33" s="334"/>
      <c r="H33" s="334"/>
      <c r="I33" s="334"/>
      <c r="J33" s="334"/>
    </row>
    <row r="34" spans="1:10" ht="15">
      <c r="A34" s="69" t="s">
        <v>166</v>
      </c>
      <c r="B34" s="74" t="s">
        <v>472</v>
      </c>
      <c r="C34" s="65">
        <f>SUMIF('ПО КОРИСНИЦИМА'!$F$5:$F$2326,'По основ. нам.'!A34,'ПО КОРИСНИЦИМА'!$H$5:$H$2326)</f>
        <v>0</v>
      </c>
      <c r="D34" s="65">
        <f>SUMIF('ПО КОРИСНИЦИМА'!$F$5:$F$2326,'По основ. нам.'!A34,'ПО КОРИСНИЦИМА'!$I$5:$I$2326)</f>
        <v>0</v>
      </c>
      <c r="E34" s="65"/>
      <c r="F34" s="65">
        <f>SUMIF('ПО КОРИСНИЦИМА'!$F$5:$F$2326,'По основ. нам.'!A34,'ПО КОРИСНИЦИМА'!$K$5:$K$2326)</f>
        <v>0</v>
      </c>
      <c r="G34" s="334"/>
      <c r="H34" s="334"/>
      <c r="I34" s="334"/>
      <c r="J34" s="334"/>
    </row>
    <row r="35" spans="1:10" ht="15">
      <c r="A35" s="69" t="s">
        <v>167</v>
      </c>
      <c r="B35" s="70" t="s">
        <v>111</v>
      </c>
      <c r="C35" s="65">
        <f>SUMIF('ПО КОРИСНИЦИМА'!$F$5:$F$2326,'По основ. нам.'!A35,'ПО КОРИСНИЦИМА'!$H$5:$H$2326)</f>
        <v>0</v>
      </c>
      <c r="D35" s="65">
        <f>SUMIF('ПО КОРИСНИЦИМА'!$F$5:$F$2326,'По основ. нам.'!A35,'ПО КОРИСНИЦИМА'!$I$5:$I$2326)</f>
        <v>0</v>
      </c>
      <c r="E35" s="65"/>
      <c r="F35" s="65">
        <f>SUMIF('ПО КОРИСНИЦИМА'!$F$5:$F$2326,'По основ. нам.'!A35,'ПО КОРИСНИЦИМА'!$K$5:$K$2326)</f>
        <v>0</v>
      </c>
      <c r="G35" s="334"/>
      <c r="H35" s="334"/>
      <c r="I35" s="334"/>
      <c r="J35" s="334"/>
    </row>
    <row r="36" spans="1:10" ht="15">
      <c r="A36" s="69">
        <v>453</v>
      </c>
      <c r="B36" s="70" t="s">
        <v>112</v>
      </c>
      <c r="C36" s="65">
        <f>SUMIF('ПО КОРИСНИЦИМА'!$F$5:$F$2326,'По основ. нам.'!A36,'ПО КОРИСНИЦИМА'!$H$5:$H$2326)</f>
        <v>0</v>
      </c>
      <c r="D36" s="65">
        <f>SUMIF('ПО КОРИСНИЦИМА'!$F$5:$F$2326,'По основ. нам.'!A36,'ПО КОРИСНИЦИМА'!$I$5:$I$2326)</f>
        <v>0</v>
      </c>
      <c r="E36" s="65"/>
      <c r="F36" s="65">
        <f>SUMIF('ПО КОРИСНИЦИМА'!$F$5:$F$2326,'По основ. нам.'!A36,'ПО КОРИСНИЦИМА'!$K$5:$K$2326)</f>
        <v>0</v>
      </c>
      <c r="G36" s="334"/>
      <c r="H36" s="334"/>
      <c r="I36" s="334"/>
      <c r="J36" s="334"/>
    </row>
    <row r="37" spans="1:10" ht="15">
      <c r="A37" s="69">
        <v>454</v>
      </c>
      <c r="B37" s="70" t="s">
        <v>113</v>
      </c>
      <c r="C37" s="65">
        <f>SUMIF('ПО КОРИСНИЦИМА'!$F$5:$F$1326,'По основ. нам.'!A37,'ПО КОРИСНИЦИМА'!$H$5:$H$1326)</f>
        <v>10000000</v>
      </c>
      <c r="D37" s="65">
        <f>SUMIF('ПО КОРИСНИЦИМА'!$F$5:$F$2326,'По основ. нам.'!A37,'ПО КОРИСНИЦИМА'!$I$5:$I$2326)</f>
        <v>0</v>
      </c>
      <c r="E37" s="65"/>
      <c r="F37" s="65">
        <f>SUMIF('ПО КОРИСНИЦИМА'!$F$5:$F$2326,'По основ. нам.'!A37,'ПО КОРИСНИЦИМА'!$K$5:$K$2326)</f>
        <v>10000000</v>
      </c>
      <c r="G37" s="334"/>
      <c r="H37" s="334"/>
      <c r="I37" s="334"/>
      <c r="J37" s="334"/>
    </row>
    <row r="38" spans="1:10" ht="15">
      <c r="A38" s="66" t="s">
        <v>114</v>
      </c>
      <c r="B38" s="67" t="s">
        <v>285</v>
      </c>
      <c r="C38" s="68">
        <f>SUM(C39:C44)</f>
        <v>51330000</v>
      </c>
      <c r="D38" s="68">
        <f>SUM(D39:D44)</f>
        <v>0</v>
      </c>
      <c r="E38" s="68"/>
      <c r="F38" s="68">
        <f>SUM(F39:F44)</f>
        <v>51330000</v>
      </c>
      <c r="G38" s="333"/>
      <c r="H38" s="333"/>
      <c r="I38" s="333"/>
      <c r="J38" s="333"/>
    </row>
    <row r="39" spans="1:10" ht="15">
      <c r="A39" s="75">
        <v>461</v>
      </c>
      <c r="B39" s="76" t="s">
        <v>115</v>
      </c>
      <c r="C39" s="65">
        <f>SUMIF('ПО КОРИСНИЦИМА'!$F$5:$F$642,'По основ. нам.'!A39,'ПО КОРИСНИЦИМА'!$H$5:$H$642)</f>
        <v>0</v>
      </c>
      <c r="D39" s="65">
        <f>SUMIF('ПО КОРИСНИЦИМА'!$F$5:$F$642,'По основ. нам.'!A39,'ПО КОРИСНИЦИМА'!$I$5:$I$642)</f>
        <v>0</v>
      </c>
      <c r="E39" s="65"/>
      <c r="F39" s="65">
        <f>SUMIF('ПО КОРИСНИЦИМА'!$F$5:$F$642,'По основ. нам.'!A39,'ПО КОРИСНИЦИМА'!$K$5:$K$642)</f>
        <v>0</v>
      </c>
      <c r="G39" s="334"/>
      <c r="H39" s="334"/>
      <c r="I39" s="334"/>
      <c r="J39" s="334"/>
    </row>
    <row r="40" spans="1:10" ht="22.5">
      <c r="A40" s="75">
        <v>462</v>
      </c>
      <c r="B40" s="76" t="s">
        <v>116</v>
      </c>
      <c r="C40" s="65">
        <f>SUMIF('ПО КОРИСНИЦИМА'!$F$5:$F$642,'По основ. нам.'!A40,'ПО КОРИСНИЦИМА'!$H$5:$H$642)</f>
        <v>0</v>
      </c>
      <c r="D40" s="65">
        <f>SUMIF('ПО КОРИСНИЦИМА'!$F$5:$F$642,'По основ. нам.'!A40,'ПО КОРИСНИЦИМА'!$I$5:$I$642)</f>
        <v>0</v>
      </c>
      <c r="E40" s="65"/>
      <c r="F40" s="65">
        <f>SUMIF('ПО КОРИСНИЦИМА'!$F$5:$F$642,'По основ. нам.'!A40,'ПО КОРИСНИЦИМА'!$K$5:$K$642)</f>
        <v>0</v>
      </c>
      <c r="G40" s="334"/>
      <c r="H40" s="334"/>
      <c r="I40" s="334"/>
      <c r="J40" s="334"/>
    </row>
    <row r="41" spans="1:10" ht="15">
      <c r="A41" s="75">
        <v>463</v>
      </c>
      <c r="B41" s="76" t="s">
        <v>117</v>
      </c>
      <c r="C41" s="65">
        <f>SUMIF('ПО КОРИСНИЦИМА'!$F$5:$F$1326,'По основ. нам.'!A41,'ПО КОРИСНИЦИМА'!$H$5:$H$1326)</f>
        <v>46000000</v>
      </c>
      <c r="D41" s="65">
        <f>SUMIF('ПО КОРИСНИЦИМА'!$F$5:$F$642,'По основ. нам.'!A41,'ПО КОРИСНИЦИМА'!$I$5:$I$642)</f>
        <v>0</v>
      </c>
      <c r="E41" s="65"/>
      <c r="F41" s="65">
        <f>SUMIF('ПО КОРИСНИЦИМА'!$F$5:$F$1326,'По основ. нам.'!A41,'ПО КОРИСНИЦИМА'!$H$5:$H$1326)</f>
        <v>46000000</v>
      </c>
      <c r="G41" s="334"/>
      <c r="H41" s="334"/>
      <c r="I41" s="334"/>
      <c r="J41" s="334"/>
    </row>
    <row r="42" spans="1:10" ht="22.5">
      <c r="A42" s="75">
        <v>4632</v>
      </c>
      <c r="B42" s="76" t="s">
        <v>118</v>
      </c>
      <c r="C42" s="65">
        <f>SUMIF('ПО КОРИСНИЦИМА'!$F$5:$F$1326,'По основ. нам.'!A42,'ПО КОРИСНИЦИМА'!$H$5:$H$1326)</f>
        <v>0</v>
      </c>
      <c r="D42" s="65">
        <f>SUMIF('ПО КОРИСНИЦИМА'!$F$5:$F$642,'По основ. нам.'!A42,'ПО КОРИСНИЦИМА'!$I$5:$I$642)</f>
        <v>0</v>
      </c>
      <c r="E42" s="65"/>
      <c r="F42" s="65">
        <f>SUMIF('ПО КОРИСНИЦИМА'!$F$5:$F$642,'По основ. нам.'!A42,'ПО КОРИСНИЦИМА'!$K$5:$K$642)</f>
        <v>0</v>
      </c>
      <c r="G42" s="334"/>
      <c r="H42" s="334"/>
      <c r="I42" s="334"/>
      <c r="J42" s="334"/>
    </row>
    <row r="43" spans="1:10" ht="22.5">
      <c r="A43" s="75">
        <v>464</v>
      </c>
      <c r="B43" s="76" t="s">
        <v>119</v>
      </c>
      <c r="C43" s="65">
        <f>SUMIF('ПО КОРИСНИЦИМА'!$F$5:$F$1326,'По основ. нам.'!A43,'ПО КОРИСНИЦИМА'!$H$5:$H$1326)</f>
        <v>5330000</v>
      </c>
      <c r="D43" s="65">
        <f>SUMIF('ПО КОРИСНИЦИМА'!$F$5:$F$642,'По основ. нам.'!A43,'ПО КОРИСНИЦИМА'!$I$5:$I$642)</f>
        <v>0</v>
      </c>
      <c r="E43" s="65"/>
      <c r="F43" s="65">
        <f>SUMIF('ПО КОРИСНИЦИМА'!$F$5:$F$642,'По основ. нам.'!A43,'ПО КОРИСНИЦИМА'!$K$5:$K$642)</f>
        <v>5330000</v>
      </c>
      <c r="G43" s="334"/>
      <c r="H43" s="334"/>
      <c r="I43" s="334"/>
      <c r="J43" s="334"/>
    </row>
    <row r="44" spans="1:10" ht="15">
      <c r="A44" s="75">
        <v>465</v>
      </c>
      <c r="B44" s="76" t="s">
        <v>120</v>
      </c>
      <c r="C44" s="65">
        <f>SUMIF('ПО КОРИСНИЦИМА'!$F$5:$F$1326,'По основ. нам.'!A44,'ПО КОРИСНИЦИМА'!$H$5:$H$1326)</f>
        <v>0</v>
      </c>
      <c r="D44" s="65">
        <f>SUMIF('ПО КОРИСНИЦИМА'!$F$5:$F$642,'По основ. нам.'!A44,'ПО КОРИСНИЦИМА'!$I$5:$I$642)</f>
        <v>0</v>
      </c>
      <c r="E44" s="65"/>
      <c r="F44" s="65">
        <f>SUMIF('ПО КОРИСНИЦИМА'!$F$5:$F$1326,'По основ. нам.'!A44,'ПО КОРИСНИЦИМА'!$H$5:$H$1326)</f>
        <v>0</v>
      </c>
      <c r="G44" s="334"/>
      <c r="H44" s="334"/>
      <c r="I44" s="334"/>
      <c r="J44" s="334"/>
    </row>
    <row r="45" spans="1:10" ht="15">
      <c r="A45" s="66" t="s">
        <v>121</v>
      </c>
      <c r="B45" s="67" t="s">
        <v>122</v>
      </c>
      <c r="C45" s="68">
        <f>SUM(C46)</f>
        <v>17000000</v>
      </c>
      <c r="D45" s="68">
        <f>SUM(D46)</f>
        <v>0</v>
      </c>
      <c r="E45" s="68">
        <f>SUM(E46)</f>
        <v>0</v>
      </c>
      <c r="F45" s="68">
        <f>SUM(F46)</f>
        <v>17000000</v>
      </c>
      <c r="G45" s="333"/>
      <c r="H45" s="333"/>
      <c r="I45" s="333"/>
      <c r="J45" s="333"/>
    </row>
    <row r="46" spans="1:10" ht="15">
      <c r="A46" s="69">
        <v>472</v>
      </c>
      <c r="B46" s="70" t="s">
        <v>123</v>
      </c>
      <c r="C46" s="65">
        <f>SUMIF('ПО КОРИСНИЦИМА'!$F$5:$F$1326,'По основ. нам.'!A46,'ПО КОРИСНИЦИМА'!$H$5:$H$1326)</f>
        <v>17000000</v>
      </c>
      <c r="D46" s="65">
        <f>SUMIF('ПО КОРИСНИЦИМА'!$F$5:$F$1326,'По основ. нам.'!A46,'ПО КОРИСНИЦИМА'!$I$5:$I$1326)</f>
        <v>0</v>
      </c>
      <c r="E46" s="65" t="s">
        <v>881</v>
      </c>
      <c r="F46" s="65">
        <f>SUMIF('ПО КОРИСНИЦИМА'!$F$5:$F$1326,'По основ. нам.'!A46,'ПО КОРИСНИЦИМА'!$K$5:$K$1326)</f>
        <v>17000000</v>
      </c>
      <c r="G46" s="334"/>
      <c r="H46" s="334"/>
      <c r="I46" s="334"/>
      <c r="J46" s="334"/>
    </row>
    <row r="47" spans="1:10" ht="15">
      <c r="A47" s="66" t="s">
        <v>124</v>
      </c>
      <c r="B47" s="67" t="s">
        <v>125</v>
      </c>
      <c r="C47" s="68">
        <f>SUM(C48:C53)</f>
        <v>58097000</v>
      </c>
      <c r="D47" s="68">
        <f>SUM(D48:D53)</f>
        <v>0</v>
      </c>
      <c r="E47" s="68"/>
      <c r="F47" s="68">
        <f>SUM(F48:F53)</f>
        <v>58097000</v>
      </c>
      <c r="G47" s="333"/>
      <c r="H47" s="333"/>
      <c r="I47" s="333"/>
      <c r="J47" s="333"/>
    </row>
    <row r="48" spans="1:10" ht="15">
      <c r="A48" s="69">
        <v>481</v>
      </c>
      <c r="B48" s="70" t="s">
        <v>126</v>
      </c>
      <c r="C48" s="65">
        <f>SUMIF('ПО КОРИСНИЦИМА'!$F$5:$F$1326,'По основ. нам.'!A48,'ПО КОРИСНИЦИМА'!$H$5:$H$1326)</f>
        <v>50507000</v>
      </c>
      <c r="D48" s="65">
        <f>SUMIF('ПО КОРИСНИЦИМА'!$F$5:$F$1326,'По основ. нам.'!A48,'ПО КОРИСНИЦИМА'!$I$5:$I$1326)</f>
        <v>0</v>
      </c>
      <c r="E48" s="65"/>
      <c r="F48" s="65">
        <f>SUMIF('ПО КОРИСНИЦИМА'!$F$5:$F$1326,'По основ. нам.'!A48,'ПО КОРИСНИЦИМА'!$H$5:$H$1326)</f>
        <v>50507000</v>
      </c>
      <c r="G48" s="334"/>
      <c r="H48" s="334"/>
      <c r="I48" s="334"/>
      <c r="J48" s="334"/>
    </row>
    <row r="49" spans="1:10" ht="15">
      <c r="A49" s="69">
        <v>482</v>
      </c>
      <c r="B49" s="70" t="s">
        <v>127</v>
      </c>
      <c r="C49" s="65">
        <f>SUMIF('ПО КОРИСНИЦИМА'!$F$5:$F$1326,'По основ. нам.'!A49,'ПО КОРИСНИЦИМА'!$H$5:$H$1326)</f>
        <v>690000</v>
      </c>
      <c r="D49" s="65">
        <f>SUMIF('ПО КОРИСНИЦИМА'!$F$5:$F$1326,'По основ. нам.'!A49,'ПО КОРИСНИЦИМА'!$I$5:$I$1326)</f>
        <v>0</v>
      </c>
      <c r="E49" s="65"/>
      <c r="F49" s="65">
        <f>SUMIF('ПО КОРИСНИЦИМА'!$F$5:$F$1326,'По основ. нам.'!A49,'ПО КОРИСНИЦИМА'!$K$5:$K$1326)</f>
        <v>690000</v>
      </c>
      <c r="G49" s="334"/>
      <c r="H49" s="334"/>
      <c r="I49" s="334"/>
      <c r="J49" s="334"/>
    </row>
    <row r="50" spans="1:10" ht="15">
      <c r="A50" s="69">
        <v>483</v>
      </c>
      <c r="B50" s="70" t="s">
        <v>128</v>
      </c>
      <c r="C50" s="65">
        <f>SUMIF('ПО КОРИСНИЦИМА'!$F$5:$F$1326,'По основ. нам.'!A50,'ПО КОРИСНИЦИМА'!$H$5:$H$1326)</f>
        <v>5500000</v>
      </c>
      <c r="D50" s="65">
        <f>SUMIF('ПО КОРИСНИЦИМА'!$F$5:$F$1326,'По основ. нам.'!A50,'ПО КОРИСНИЦИМА'!$I$5:$I$1326)</f>
        <v>0</v>
      </c>
      <c r="E50" s="65"/>
      <c r="F50" s="65">
        <f>SUMIF('ПО КОРИСНИЦИМА'!$F$5:$F$1326,'По основ. нам.'!A50,'ПО КОРИСНИЦИМА'!$K$5:$K$1326)</f>
        <v>5500000</v>
      </c>
      <c r="G50" s="334"/>
      <c r="H50" s="334"/>
      <c r="I50" s="334"/>
      <c r="J50" s="334"/>
    </row>
    <row r="51" spans="1:10" ht="15">
      <c r="A51" s="69">
        <v>484</v>
      </c>
      <c r="B51" s="70" t="s">
        <v>129</v>
      </c>
      <c r="C51" s="65">
        <f>SUMIF('ПО КОРИСНИЦИМА'!$F$5:$F$2312,'По основ. нам.'!A51,'ПО КОРИСНИЦИМА'!$H$5:$H$2312)</f>
        <v>400000</v>
      </c>
      <c r="D51" s="65">
        <f>SUMIF('ПО КОРИСНИЦИМА'!$F$5:$F$1326,'По основ. нам.'!A51,'ПО КОРИСНИЦИМА'!$I$5:$I$1326)</f>
        <v>0</v>
      </c>
      <c r="E51" s="65"/>
      <c r="F51" s="65">
        <f>SUMIF('ПО КОРИСНИЦИМА'!$F$5:$F$1326,'По основ. нам.'!A51,'ПО КОРИСНИЦИМА'!$K$5:$K$1326)</f>
        <v>400000</v>
      </c>
      <c r="G51" s="334"/>
      <c r="H51" s="334"/>
      <c r="I51" s="334"/>
      <c r="J51" s="334"/>
    </row>
    <row r="52" spans="1:10" ht="15">
      <c r="A52" s="69">
        <v>485</v>
      </c>
      <c r="B52" s="70" t="s">
        <v>130</v>
      </c>
      <c r="C52" s="65">
        <f>SUMIF('ПО КОРИСНИЦИМА'!$F$5:$F$2312,'По основ. нам.'!A52,'ПО КОРИСНИЦИМА'!$H$5:$H$2312)</f>
        <v>1000000</v>
      </c>
      <c r="D52" s="65">
        <f>SUMIF('ПО КОРИСНИЦИМА'!$F$5:$F$1326,'По основ. нам.'!A52,'ПО КОРИСНИЦИМА'!$I$5:$I$1326)</f>
        <v>0</v>
      </c>
      <c r="E52" s="65"/>
      <c r="F52" s="65">
        <f>SUMIF('ПО КОРИСНИЦИМА'!$F$5:$F$1326,'По основ. нам.'!A52,'ПО КОРИСНИЦИМА'!$K$5:$K$1326)</f>
        <v>1000000</v>
      </c>
      <c r="G52" s="334"/>
      <c r="H52" s="334"/>
      <c r="I52" s="334"/>
      <c r="J52" s="334"/>
    </row>
    <row r="53" spans="1:10" ht="15">
      <c r="A53" s="69">
        <v>489</v>
      </c>
      <c r="B53" s="70" t="s">
        <v>131</v>
      </c>
      <c r="C53" s="65">
        <f>SUMIF('ПО КОРИСНИЦИМА'!$F$5:$F$642,'По основ. нам.'!A53,'ПО КОРИСНИЦИМА'!$H$5:$H$642)</f>
        <v>0</v>
      </c>
      <c r="D53" s="65">
        <f>SUMIF('ПО КОРИСНИЦИМА'!$F$5:$F$1326,'По основ. нам.'!A53,'ПО КОРИСНИЦИМА'!$I$5:$I$1326)</f>
        <v>0</v>
      </c>
      <c r="E53" s="65"/>
      <c r="F53" s="65">
        <f>SUMIF('ПО КОРИСНИЦИМА'!$F$5:$F$1326,'По основ. нам.'!A53,'ПО КОРИСНИЦИМА'!$K$5:$K$1326)</f>
        <v>0</v>
      </c>
      <c r="G53" s="334"/>
      <c r="H53" s="334"/>
      <c r="I53" s="334"/>
      <c r="J53" s="334"/>
    </row>
    <row r="54" spans="1:10" ht="22.5">
      <c r="A54" s="77">
        <v>490</v>
      </c>
      <c r="B54" s="78" t="s">
        <v>132</v>
      </c>
      <c r="C54" s="68">
        <f>SUM(C55:C60)</f>
        <v>4300000</v>
      </c>
      <c r="D54" s="68">
        <f>SUM(D55:D60)</f>
        <v>0</v>
      </c>
      <c r="E54" s="68"/>
      <c r="F54" s="68">
        <f>SUM(F55:F60)</f>
        <v>4300000</v>
      </c>
      <c r="G54" s="333"/>
      <c r="H54" s="333"/>
      <c r="I54" s="333"/>
      <c r="J54" s="333"/>
    </row>
    <row r="55" spans="1:10" ht="23.25">
      <c r="A55" s="79">
        <v>494</v>
      </c>
      <c r="B55" s="80" t="s">
        <v>224</v>
      </c>
      <c r="C55" s="65">
        <f>SUMIF('ПО КОРИСНИЦИМА'!$F$5:$F$642,'По основ. нам.'!A55,'ПО КОРИСНИЦИМА'!$H$5:$H$642)</f>
        <v>0</v>
      </c>
      <c r="D55" s="65">
        <f>SUMIF('ПО КОРИСНИЦИМА'!$F$5:$F$642,'По основ. нам.'!A55,'ПО КОРИСНИЦИМА'!$I$5:$I$642)</f>
        <v>0</v>
      </c>
      <c r="E55" s="65"/>
      <c r="F55" s="65">
        <f>SUMIF('ПО КОРИСНИЦИМА'!$F$5:$F$642,'По основ. нам.'!A55,'ПО КОРИСНИЦИМА'!$K$5:$K$642)</f>
        <v>0</v>
      </c>
      <c r="G55" s="334"/>
      <c r="H55" s="334"/>
      <c r="I55" s="334"/>
      <c r="J55" s="334"/>
    </row>
    <row r="56" spans="1:10" ht="23.25">
      <c r="A56" s="79">
        <v>495</v>
      </c>
      <c r="B56" s="80" t="s">
        <v>225</v>
      </c>
      <c r="C56" s="65">
        <f>SUMIF('ПО КОРИСНИЦИМА'!$F$5:$F$642,'По основ. нам.'!A56,'ПО КОРИСНИЦИМА'!$H$5:$H$642)</f>
        <v>0</v>
      </c>
      <c r="D56" s="65">
        <f>SUMIF('ПО КОРИСНИЦИМА'!$F$5:$F$642,'По основ. нам.'!A56,'ПО КОРИСНИЦИМА'!$I$5:$I$642)</f>
        <v>0</v>
      </c>
      <c r="E56" s="65"/>
      <c r="F56" s="65">
        <f>SUMIF('ПО КОРИСНИЦИМА'!$F$5:$F$642,'По основ. нам.'!A56,'ПО КОРИСНИЦИМА'!$K$5:$K$642)</f>
        <v>0</v>
      </c>
      <c r="G56" s="334"/>
      <c r="H56" s="334"/>
      <c r="I56" s="334"/>
      <c r="J56" s="334"/>
    </row>
    <row r="57" spans="1:10" ht="34.5">
      <c r="A57" s="79">
        <v>496</v>
      </c>
      <c r="B57" s="80" t="s">
        <v>226</v>
      </c>
      <c r="C57" s="65">
        <f>SUMIF('ПО КОРИСНИЦИМА'!$F$5:$F$642,'По основ. нам.'!A57,'ПО КОРИСНИЦИМА'!$H$5:$H$642)</f>
        <v>0</v>
      </c>
      <c r="D57" s="65">
        <f>SUMIF('ПО КОРИСНИЦИМА'!$F$5:$F$642,'По основ. нам.'!A57,'ПО КОРИСНИЦИМА'!$I$5:$I$642)</f>
        <v>0</v>
      </c>
      <c r="E57" s="65"/>
      <c r="F57" s="65">
        <f>SUMIF('ПО КОРИСНИЦИМА'!$F$5:$F$642,'По основ. нам.'!A57,'ПО КОРИСНИЦИМА'!$K$5:$K$642)</f>
        <v>0</v>
      </c>
      <c r="G57" s="334"/>
      <c r="H57" s="334"/>
      <c r="I57" s="334"/>
      <c r="J57" s="334"/>
    </row>
    <row r="58" spans="1:10" ht="23.25">
      <c r="A58" s="79">
        <v>499</v>
      </c>
      <c r="B58" s="80" t="s">
        <v>227</v>
      </c>
      <c r="C58" s="65">
        <f>SUMIF('ПО КОРИСНИЦИМА'!$F$5:$F$642,'По основ. нам.'!A58,'ПО КОРИСНИЦИМА'!$H$5:$H$642)</f>
        <v>0</v>
      </c>
      <c r="D58" s="65">
        <f>SUMIF('ПО КОРИСНИЦИМА'!$F$5:$F$642,'По основ. нам.'!A58,'ПО КОРИСНИЦИМА'!$I$5:$I$642)</f>
        <v>0</v>
      </c>
      <c r="E58" s="65"/>
      <c r="F58" s="65">
        <f>SUMIF('ПО КОРИСНИЦИМА'!$F$5:$F$642,'По основ. нам.'!A58,'ПО КОРИСНИЦИМА'!$K$5:$K$642)</f>
        <v>0</v>
      </c>
      <c r="G58" s="334"/>
      <c r="H58" s="334"/>
      <c r="I58" s="334"/>
      <c r="J58" s="334"/>
    </row>
    <row r="59" spans="1:10" ht="15">
      <c r="A59" s="79">
        <v>49911</v>
      </c>
      <c r="B59" s="80" t="s">
        <v>133</v>
      </c>
      <c r="C59" s="65">
        <f>SUMIF('ПО КОРИСНИЦИМА'!$F$5:$F$1326,'По основ. нам.'!A59,'ПО КОРИСНИЦИМА'!$H$5:$H$1326)</f>
        <v>300000</v>
      </c>
      <c r="D59" s="65">
        <f>SUMIF('ПО КОРИСНИЦИМА'!$F$5:$F$642,'По основ. нам.'!A59,'ПО КОРИСНИЦИМА'!$I$5:$I$642)</f>
        <v>0</v>
      </c>
      <c r="E59" s="65"/>
      <c r="F59" s="65">
        <f>SUMIF('ПО КОРИСНИЦИМА'!$F$5:$F$642,'По основ. нам.'!A59,'ПО КОРИСНИЦИМА'!$K$5:$K$642)</f>
        <v>300000</v>
      </c>
      <c r="G59" s="334"/>
      <c r="H59" s="334"/>
      <c r="I59" s="334"/>
      <c r="J59" s="334"/>
    </row>
    <row r="60" spans="1:10" ht="15">
      <c r="A60" s="69" t="s">
        <v>134</v>
      </c>
      <c r="B60" s="70" t="s">
        <v>135</v>
      </c>
      <c r="C60" s="65">
        <f>SUMIF('ПО КОРИСНИЦИМА'!$F$5:$F$1326,'По основ. нам.'!A60,'ПО КОРИСНИЦИМА'!$H$5:$H$1326)</f>
        <v>4000000</v>
      </c>
      <c r="D60" s="65">
        <f>SUMIF('ПО КОРИСНИЦИМА'!$F$5:$F$642,'По основ. нам.'!A60,'ПО КОРИСНИЦИМА'!$I$5:$I$642)</f>
        <v>0</v>
      </c>
      <c r="E60" s="65"/>
      <c r="F60" s="65">
        <f>SUMIF('ПО КОРИСНИЦИМА'!$F$5:$F$642,'По основ. нам.'!A60,'ПО КОРИСНИЦИМА'!$K$5:$K$642)</f>
        <v>4000000</v>
      </c>
      <c r="G60" s="334"/>
      <c r="H60" s="334"/>
      <c r="I60" s="334"/>
      <c r="J60" s="334"/>
    </row>
    <row r="61" spans="1:10" ht="15">
      <c r="A61" s="96" t="s">
        <v>173</v>
      </c>
      <c r="B61" s="97" t="s">
        <v>381</v>
      </c>
      <c r="C61" s="98">
        <f>SUM(C62,C68,C73,C77)</f>
        <v>17935000</v>
      </c>
      <c r="D61" s="98">
        <f>SUM(D62,D68,D73,D77)</f>
        <v>100000</v>
      </c>
      <c r="E61" s="98"/>
      <c r="F61" s="98">
        <f>SUM(F62,F68,F73,F77)</f>
        <v>18035000</v>
      </c>
      <c r="G61" s="335"/>
      <c r="H61" s="335"/>
      <c r="I61" s="335"/>
      <c r="J61" s="335"/>
    </row>
    <row r="62" spans="1:10" ht="15">
      <c r="A62" s="66" t="s">
        <v>136</v>
      </c>
      <c r="B62" s="67" t="s">
        <v>137</v>
      </c>
      <c r="C62" s="68">
        <f>SUM(C63:C67)</f>
        <v>16435000</v>
      </c>
      <c r="D62" s="68">
        <f>SUM(D63:D67)</f>
        <v>100000</v>
      </c>
      <c r="E62" s="68"/>
      <c r="F62" s="68">
        <f>SUM(F63:F67)</f>
        <v>16535000</v>
      </c>
      <c r="G62" s="333"/>
      <c r="H62" s="333"/>
      <c r="I62" s="333"/>
      <c r="J62" s="333"/>
    </row>
    <row r="63" spans="1:10" ht="15">
      <c r="A63" s="69">
        <v>511</v>
      </c>
      <c r="B63" s="70" t="s">
        <v>138</v>
      </c>
      <c r="C63" s="65">
        <f>SUMIF('ПО КОРИСНИЦИМА'!$F$5:$F$1326,'По основ. нам.'!A63,'ПО КОРИСНИЦИМА'!$H$5:$H$1326)</f>
        <v>14150000</v>
      </c>
      <c r="D63" s="65">
        <f>SUMIF('ПО КОРИСНИЦИМА'!$F$5:$F$1326,'По основ. нам.'!A63,'ПО КОРИСНИЦИМА'!$I$5:$I$1326)</f>
        <v>0</v>
      </c>
      <c r="E63" s="65"/>
      <c r="F63" s="65">
        <f>SUMIF('ПО КОРИСНИЦИМА'!$F$5:$F$1326,'По основ. нам.'!A63,'ПО КОРИСНИЦИМА'!$K$5:$K$1326)</f>
        <v>14150000</v>
      </c>
      <c r="G63" s="334"/>
      <c r="H63" s="334"/>
      <c r="I63" s="334"/>
      <c r="J63" s="334"/>
    </row>
    <row r="64" spans="1:10" ht="15">
      <c r="A64" s="69">
        <v>512</v>
      </c>
      <c r="B64" s="70" t="s">
        <v>139</v>
      </c>
      <c r="C64" s="65">
        <f>SUMIF('ПО КОРИСНИЦИМА'!$F$5:$F$2326,'По основ. нам.'!A64,'ПО КОРИСНИЦИМА'!$H$5:$H$2326)</f>
        <v>2185000</v>
      </c>
      <c r="D64" s="65">
        <f>SUMIF('ПО КОРИСНИЦИМА'!$F$5:$F$1326,'По основ. нам.'!A64,'ПО КОРИСНИЦИМА'!$I$5:$I$1326)</f>
        <v>0</v>
      </c>
      <c r="E64" s="65"/>
      <c r="F64" s="65">
        <f>SUMIF('ПО КОРИСНИЦИМА'!$F$5:$F$1326,'По основ. нам.'!A64,'ПО КОРИСНИЦИМА'!$K$5:$K$1326)</f>
        <v>2185000</v>
      </c>
      <c r="G64" s="334"/>
      <c r="H64" s="334"/>
      <c r="I64" s="334"/>
      <c r="J64" s="334"/>
    </row>
    <row r="65" spans="1:10" ht="15">
      <c r="A65" s="69">
        <v>513</v>
      </c>
      <c r="B65" s="70" t="s">
        <v>140</v>
      </c>
      <c r="C65" s="65">
        <f>SUMIF('ПО КОРИСНИЦИМА'!$F$5:$F$2312,'По основ. нам.'!A65,'ПО КОРИСНИЦИМА'!$H$5:$H$2312)</f>
        <v>0</v>
      </c>
      <c r="D65" s="65">
        <f>SUMIF('ПО КОРИСНИЦИМА'!$F$5:$F$1326,'По основ. нам.'!A65,'ПО КОРИСНИЦИМА'!$I$5:$I$1326)</f>
        <v>0</v>
      </c>
      <c r="E65" s="65"/>
      <c r="F65" s="65">
        <f>SUMIF('ПО КОРИСНИЦИМА'!$F$5:$F$1326,'По основ. нам.'!A65,'ПО КОРИСНИЦИМА'!$K$5:$K$1326)</f>
        <v>0</v>
      </c>
      <c r="G65" s="334"/>
      <c r="H65" s="334"/>
      <c r="I65" s="334"/>
      <c r="J65" s="334"/>
    </row>
    <row r="66" spans="1:10" ht="15">
      <c r="A66" s="69">
        <v>514</v>
      </c>
      <c r="B66" s="70" t="s">
        <v>141</v>
      </c>
      <c r="C66" s="65">
        <f>SUMIF('ПО КОРИСНИЦИМА'!$F$5:$F$1326,'По основ. нам.'!A66,'ПО КОРИСНИЦИМА'!$H$5:$H$1326)</f>
        <v>0</v>
      </c>
      <c r="D66" s="65">
        <f>SUMIF('ПО КОРИСНИЦИМА'!$F$5:$F$1326,'По основ. нам.'!A66,'ПО КОРИСНИЦИМА'!$I$5:$I$1326)</f>
        <v>0</v>
      </c>
      <c r="E66" s="65"/>
      <c r="F66" s="65">
        <f>SUMIF('ПО КОРИСНИЦИМА'!$F$5:$F$1326,'По основ. нам.'!A66,'ПО КОРИСНИЦИМА'!$K$5:$K$1326)</f>
        <v>0</v>
      </c>
      <c r="G66" s="334"/>
      <c r="H66" s="334"/>
      <c r="I66" s="334"/>
      <c r="J66" s="334"/>
    </row>
    <row r="67" spans="1:10" ht="15">
      <c r="A67" s="69">
        <v>515</v>
      </c>
      <c r="B67" s="70" t="s">
        <v>142</v>
      </c>
      <c r="C67" s="65">
        <f>SUMIF('ПО КОРИСНИЦИМА'!$F$5:$F$1326,'По основ. нам.'!A67,'ПО КОРИСНИЦИМА'!$H$5:$H$1326)</f>
        <v>100000</v>
      </c>
      <c r="D67" s="65">
        <f>SUMIF('ПО КОРИСНИЦИМА'!$F$5:$F$1326,'По основ. нам.'!A67,'ПО КОРИСНИЦИМА'!$I$5:$I$1326)</f>
        <v>100000</v>
      </c>
      <c r="E67" s="65"/>
      <c r="F67" s="65">
        <f>SUMIF('ПО КОРИСНИЦИМА'!$F$5:$F$1326,'По основ. нам.'!A67,'ПО КОРИСНИЦИМА'!$K$5:$K$1326)</f>
        <v>200000</v>
      </c>
      <c r="G67" s="334"/>
      <c r="H67" s="334"/>
      <c r="I67" s="334"/>
      <c r="J67" s="334"/>
    </row>
    <row r="68" spans="1:10" ht="15">
      <c r="A68" s="66" t="s">
        <v>143</v>
      </c>
      <c r="B68" s="67" t="s">
        <v>144</v>
      </c>
      <c r="C68" s="68">
        <f>SUM(C69:C72)</f>
        <v>0</v>
      </c>
      <c r="D68" s="68">
        <f>SUM(D69:D72)</f>
        <v>0</v>
      </c>
      <c r="E68" s="68"/>
      <c r="F68" s="68">
        <f>SUM(F69:F72)</f>
        <v>0</v>
      </c>
      <c r="G68" s="333"/>
      <c r="H68" s="333"/>
      <c r="I68" s="333"/>
      <c r="J68" s="333"/>
    </row>
    <row r="69" spans="1:10" ht="15">
      <c r="A69" s="75">
        <v>521</v>
      </c>
      <c r="B69" s="81" t="s">
        <v>145</v>
      </c>
      <c r="C69" s="65">
        <f>SUMIF('ПО КОРИСНИЦИМА'!$F$5:$F$642,'По основ. нам.'!A69,'ПО КОРИСНИЦИМА'!$H$5:$H$642)</f>
        <v>0</v>
      </c>
      <c r="D69" s="65">
        <f>SUMIF('ПО КОРИСНИЦИМА'!$F$5:$F$642,'По основ. нам.'!A69,'ПО КОРИСНИЦИМА'!$I$5:$I$642)</f>
        <v>0</v>
      </c>
      <c r="E69" s="65"/>
      <c r="F69" s="65">
        <f>SUMIF('ПО КОРИСНИЦИМА'!$F$5:$F$642,'По основ. нам.'!A69,'ПО КОРИСНИЦИМА'!$K$5:$K$642)</f>
        <v>0</v>
      </c>
      <c r="G69" s="334"/>
      <c r="H69" s="334"/>
      <c r="I69" s="334"/>
      <c r="J69" s="334"/>
    </row>
    <row r="70" spans="1:10" ht="15">
      <c r="A70" s="75">
        <v>522</v>
      </c>
      <c r="B70" s="81" t="s">
        <v>146</v>
      </c>
      <c r="C70" s="65">
        <f>SUMIF('ПО КОРИСНИЦИМА'!$F$5:$F$642,'По основ. нам.'!A70,'ПО КОРИСНИЦИМА'!$H$5:$H$642)</f>
        <v>0</v>
      </c>
      <c r="D70" s="65">
        <f>SUMIF('ПО КОРИСНИЦИМА'!$F$5:$F$642,'По основ. нам.'!A70,'ПО КОРИСНИЦИМА'!$I$5:$I$642)</f>
        <v>0</v>
      </c>
      <c r="E70" s="65"/>
      <c r="F70" s="65">
        <f>SUMIF('ПО КОРИСНИЦИМА'!$F$5:$F$642,'По основ. нам.'!A70,'ПО КОРИСНИЦИМА'!$K$5:$K$642)</f>
        <v>0</v>
      </c>
      <c r="G70" s="334"/>
      <c r="H70" s="334"/>
      <c r="I70" s="334"/>
      <c r="J70" s="334"/>
    </row>
    <row r="71" spans="1:10" ht="15">
      <c r="A71" s="75">
        <v>523</v>
      </c>
      <c r="B71" s="82" t="s">
        <v>147</v>
      </c>
      <c r="C71" s="65">
        <f>SUMIF('ПО КОРИСНИЦИМА'!$F$5:$F$703,'По основ. нам.'!A71,'ПО КОРИСНИЦИМА'!$H$5:$H$703)</f>
        <v>0</v>
      </c>
      <c r="D71" s="65">
        <f>SUMIF('ПО КОРИСНИЦИМА'!$F$5:$F$703,'По основ. нам.'!A71,'ПО КОРИСНИЦИМА'!$I$5:$I$703)</f>
        <v>0</v>
      </c>
      <c r="E71" s="65"/>
      <c r="F71" s="65">
        <f>SUMIF('ПО КОРИСНИЦИМА'!$F$5:$F$703,'По основ. нам.'!A71,'ПО КОРИСНИЦИМА'!$H$5:$H$703)</f>
        <v>0</v>
      </c>
      <c r="G71" s="334"/>
      <c r="H71" s="334"/>
      <c r="I71" s="334"/>
      <c r="J71" s="334"/>
    </row>
    <row r="72" spans="1:10" ht="15">
      <c r="A72" s="75">
        <v>531</v>
      </c>
      <c r="B72" s="82" t="s">
        <v>228</v>
      </c>
      <c r="C72" s="65">
        <f>SUMIF('ПО КОРИСНИЦИМА'!$F$5:$F$642,'По основ. нам.'!A72,'ПО КОРИСНИЦИМА'!$H$5:$H$642)</f>
        <v>0</v>
      </c>
      <c r="D72" s="65">
        <f>SUMIF('ПО КОРИСНИЦИМА'!$F$5:$F$642,'По основ. нам.'!A72,'ПО КОРИСНИЦИМА'!$I$5:$I$642)</f>
        <v>0</v>
      </c>
      <c r="E72" s="65"/>
      <c r="F72" s="65">
        <f>SUMIF('ПО КОРИСНИЦИМА'!$F$5:$F$642,'По основ. нам.'!A72,'ПО КОРИСНИЦИМА'!$K$5:$K$642)</f>
        <v>0</v>
      </c>
      <c r="G72" s="334"/>
      <c r="H72" s="334"/>
      <c r="I72" s="334"/>
      <c r="J72" s="334"/>
    </row>
    <row r="73" spans="1:10" ht="15.75" customHeight="1">
      <c r="A73" s="66" t="s">
        <v>148</v>
      </c>
      <c r="B73" s="67" t="s">
        <v>149</v>
      </c>
      <c r="C73" s="83">
        <f>SUM(C74:C76)</f>
        <v>1500000</v>
      </c>
      <c r="D73" s="83">
        <f>SUM(D74:D76)</f>
        <v>0</v>
      </c>
      <c r="E73" s="83"/>
      <c r="F73" s="83">
        <f>SUM(F74:F76)</f>
        <v>1500000</v>
      </c>
      <c r="G73" s="336"/>
      <c r="H73" s="336"/>
      <c r="I73" s="336"/>
      <c r="J73" s="336"/>
    </row>
    <row r="74" spans="1:10" ht="15">
      <c r="A74" s="75">
        <v>541</v>
      </c>
      <c r="B74" s="81" t="s">
        <v>150</v>
      </c>
      <c r="C74" s="65">
        <f>SUMIF('ПО КОРИСНИЦИМА'!$F$5:$F$1326,'По основ. нам.'!A74,'ПО КОРИСНИЦИМА'!$H$5:$H$1326)</f>
        <v>1500000</v>
      </c>
      <c r="D74" s="65">
        <f>SUMIF('ПО КОРИСНИЦИМА'!$F$5:$F$1326,'По основ. нам.'!A74,'ПО КОРИСНИЦИМА'!$I$5:$I$1326)</f>
        <v>0</v>
      </c>
      <c r="E74" s="65"/>
      <c r="F74" s="65">
        <f>SUMIF('ПО КОРИСНИЦИМА'!$F$5:$F$1326,'По основ. нам.'!A74,'ПО КОРИСНИЦИМА'!$K$5:$K$1326)</f>
        <v>1500000</v>
      </c>
      <c r="G74" s="334"/>
      <c r="H74" s="334"/>
      <c r="I74" s="334"/>
      <c r="J74" s="334"/>
    </row>
    <row r="75" spans="1:10" ht="15">
      <c r="A75" s="75">
        <v>542</v>
      </c>
      <c r="B75" s="81" t="s">
        <v>151</v>
      </c>
      <c r="C75" s="65">
        <f>SUMIF('ПО КОРИСНИЦИМА'!$F$5:$F$642,'По основ. нам.'!A75,'ПО КОРИСНИЦИМА'!$H$5:$H$642)</f>
        <v>0</v>
      </c>
      <c r="D75" s="65">
        <f>SUMIF('ПО КОРИСНИЦИМА'!$F$5:$F$1326,'По основ. нам.'!A75,'ПО КОРИСНИЦИМА'!$I$5:$I$1326)</f>
        <v>0</v>
      </c>
      <c r="E75" s="65"/>
      <c r="F75" s="65">
        <f>SUMIF('ПО КОРИСНИЦИМА'!$F$5:$F$1326,'По основ. нам.'!A75,'ПО КОРИСНИЦИМА'!$K$5:$K$1326)</f>
        <v>0</v>
      </c>
      <c r="G75" s="334"/>
      <c r="H75" s="334"/>
      <c r="I75" s="334"/>
      <c r="J75" s="334"/>
    </row>
    <row r="76" spans="1:10" ht="15">
      <c r="A76" s="75">
        <v>543</v>
      </c>
      <c r="B76" s="82" t="s">
        <v>152</v>
      </c>
      <c r="C76" s="65">
        <f>SUMIF('ПО КОРИСНИЦИМА'!$F$5:$F$642,'По основ. нам.'!A76,'ПО КОРИСНИЦИМА'!$H$5:$H$642)</f>
        <v>0</v>
      </c>
      <c r="D76" s="65">
        <f>SUMIF('ПО КОРИСНИЦИМА'!$F$5:$F$1326,'По основ. нам.'!A76,'ПО КОРИСНИЦИМА'!$I$5:$I$1326)</f>
        <v>0</v>
      </c>
      <c r="E76" s="65"/>
      <c r="F76" s="65">
        <f>SUMIF('ПО КОРИСНИЦИМА'!$F$5:$F$1326,'По основ. нам.'!A76,'ПО КОРИСНИЦИМА'!$K$5:$K$1326)</f>
        <v>0</v>
      </c>
      <c r="G76" s="334"/>
      <c r="H76" s="334"/>
      <c r="I76" s="334"/>
      <c r="J76" s="334"/>
    </row>
    <row r="77" spans="1:10" ht="21">
      <c r="A77" s="84">
        <v>550</v>
      </c>
      <c r="B77" s="85" t="s">
        <v>153</v>
      </c>
      <c r="C77" s="86">
        <f>SUM(C78)</f>
        <v>0</v>
      </c>
      <c r="D77" s="86">
        <f>SUM(D78)</f>
        <v>0</v>
      </c>
      <c r="E77" s="86"/>
      <c r="F77" s="86">
        <f>SUM(F78)</f>
        <v>0</v>
      </c>
      <c r="G77" s="337"/>
      <c r="H77" s="337"/>
      <c r="I77" s="337"/>
      <c r="J77" s="337"/>
    </row>
    <row r="78" spans="1:10" ht="23.25">
      <c r="A78" s="75">
        <v>551</v>
      </c>
      <c r="B78" s="87" t="s">
        <v>154</v>
      </c>
      <c r="C78" s="65">
        <f>SUMIF('ПО КОРИСНИЦИМА'!$F$5:$F$642,'По основ. нам.'!A78,'ПО КОРИСНИЦИМА'!$H$5:$H$642)</f>
        <v>0</v>
      </c>
      <c r="D78" s="65"/>
      <c r="E78" s="65"/>
      <c r="F78" s="65">
        <f>SUMIF('ПО КОРИСНИЦИМА'!$F$5:$F$642,'По основ. нам.'!A78,'ПО КОРИСНИЦИМА'!$K$5:$K$642)</f>
        <v>0</v>
      </c>
      <c r="G78" s="334"/>
      <c r="H78" s="334"/>
      <c r="I78" s="334"/>
      <c r="J78" s="334"/>
    </row>
    <row r="79" spans="1:10" ht="15">
      <c r="A79" s="66" t="s">
        <v>155</v>
      </c>
      <c r="B79" s="67" t="s">
        <v>156</v>
      </c>
      <c r="C79" s="86">
        <f>SUM(C80:C82)</f>
        <v>20000000</v>
      </c>
      <c r="D79" s="86">
        <f>SUM(D80:D82)</f>
        <v>0</v>
      </c>
      <c r="E79" s="86">
        <f>SUM(E80:E82)</f>
        <v>0</v>
      </c>
      <c r="F79" s="86">
        <f>SUM(F80:F82)</f>
        <v>20000000</v>
      </c>
      <c r="G79" s="337"/>
      <c r="H79" s="337"/>
      <c r="I79" s="337"/>
      <c r="J79" s="337"/>
    </row>
    <row r="80" spans="1:10" ht="15">
      <c r="A80" s="69" t="s">
        <v>157</v>
      </c>
      <c r="B80" s="70" t="s">
        <v>158</v>
      </c>
      <c r="C80" s="65">
        <f>SUMIF('ПО КОРИСНИЦИМА'!$F$5:$F$642,'По основ. нам.'!A80,'ПО КОРИСНИЦИМА'!$H$5:$H$642)</f>
        <v>20000000</v>
      </c>
      <c r="D80" s="65">
        <f>SUMIF('ПО КОРИСНИЦИМА'!$F$5:$F$642,'По основ. нам.'!A80,'ПО КОРИСНИЦИМА'!$I$5:$I$642)</f>
        <v>0</v>
      </c>
      <c r="E80" s="65">
        <v>0</v>
      </c>
      <c r="F80" s="65">
        <f>SUMIF('ПО КОРИСНИЦИМА'!$F$5:$F$1326,'По основ. нам.'!A80,'ПО КОРИСНИЦИМА'!$K$5:$K$1326)</f>
        <v>20000000</v>
      </c>
      <c r="G80" s="334"/>
      <c r="H80" s="334"/>
      <c r="I80" s="334"/>
      <c r="J80" s="334"/>
    </row>
    <row r="81" spans="1:10" ht="15">
      <c r="A81" s="88" t="s">
        <v>159</v>
      </c>
      <c r="B81" s="89" t="s">
        <v>160</v>
      </c>
      <c r="C81" s="65">
        <f>SUMIF('ПО КОРИСНИЦИМА'!$F$5:$F$642,'По основ. нам.'!A81,'ПО КОРИСНИЦИМА'!$H$5:$H$642)</f>
        <v>0</v>
      </c>
      <c r="D81" s="65">
        <f>SUMIF('ПО КОРИСНИЦИМА'!$F$5:$F$642,'По основ. нам.'!A81,'ПО КОРИСНИЦИМА'!$I$5:$I$642)</f>
        <v>0</v>
      </c>
      <c r="E81" s="65">
        <f>SUMIF('ПО КОРИСНИЦИМА'!$F$5:$F$1326,'По основ. нам.'!#REF!,'ПО КОРИСНИЦИМА'!$K$5:$K$1326)</f>
        <v>0</v>
      </c>
      <c r="F81" s="65">
        <f>SUMIF('ПО КОРИСНИЦИМА'!$F$5:$F$1326,'По основ. нам.'!A81,'ПО КОРИСНИЦИМА'!$K$5:$K$1326)</f>
        <v>0</v>
      </c>
      <c r="G81" s="334"/>
      <c r="H81" s="334"/>
      <c r="I81" s="334"/>
      <c r="J81" s="334"/>
    </row>
    <row r="82" spans="1:10" ht="15">
      <c r="A82" s="88" t="s">
        <v>161</v>
      </c>
      <c r="B82" s="89" t="s">
        <v>485</v>
      </c>
      <c r="C82" s="65">
        <f>SUMIF('ПО КОРИСНИЦИМА'!$F$5:$F$642,'По основ. нам.'!A81,'ПО КОРИСНИЦИМА'!$H$5:$H$642)</f>
        <v>0</v>
      </c>
      <c r="D82" s="65">
        <f>SUMIF('ПО КОРИСНИЦИМА'!$F$5:$F$642,'По основ. нам.'!A82,'ПО КОРИСНИЦИМА'!$I$5:$I$642)</f>
        <v>0</v>
      </c>
      <c r="E82" s="65"/>
      <c r="F82" s="65">
        <f>SUMIF('ПО КОРИСНИЦИМА'!$F$5:$F$1326,'По основ. нам.'!A82,'ПО КОРИСНИЦИМА'!$K$5:$K$1326)</f>
        <v>0</v>
      </c>
      <c r="G82" s="334"/>
      <c r="H82" s="334"/>
      <c r="I82" s="334"/>
      <c r="J82" s="334"/>
    </row>
    <row r="83" spans="1:10" ht="15">
      <c r="A83" s="66" t="s">
        <v>162</v>
      </c>
      <c r="B83" s="67" t="s">
        <v>486</v>
      </c>
      <c r="C83" s="86">
        <f>SUMIF('ПО КОРИСНИЦИМА'!$F$5:$F$642,'По основ. нам.'!A83,'ПО КОРИСНИЦИМА'!$H$5:$H$642)</f>
        <v>0</v>
      </c>
      <c r="D83" s="86">
        <f>SUMIF('ПО КОРИСНИЦИМА'!$F$5:$F$642,'По основ. нам.'!B83,'ПО КОРИСНИЦИМА'!$H$5:$H$642)</f>
        <v>0</v>
      </c>
      <c r="E83" s="86"/>
      <c r="F83" s="86">
        <f>SUMIF('ПО КОРИСНИЦИМА'!$F$5:$F$642,'По основ. нам.'!C83,'ПО КОРИСНИЦИМА'!$H$5:$H$642)</f>
        <v>0</v>
      </c>
      <c r="G83" s="337"/>
      <c r="H83" s="337"/>
      <c r="I83" s="337"/>
      <c r="J83" s="337"/>
    </row>
    <row r="84" spans="1:10" ht="15">
      <c r="A84" s="88" t="s">
        <v>163</v>
      </c>
      <c r="B84" s="89" t="s">
        <v>164</v>
      </c>
      <c r="C84" s="65">
        <f>SUMIF('ПО КОРИСНИЦИМА'!$F$5:$F$642,'По основ. нам.'!A84,'ПО КОРИСНИЦИМА'!$H$5:$H$642)</f>
        <v>0</v>
      </c>
      <c r="D84" s="65"/>
      <c r="E84" s="65"/>
      <c r="F84" s="65">
        <f>SUMIF('ПО КОРИСНИЦИМА'!$F$5:$F$642,'По основ. нам.'!A84,'ПО КОРИСНИЦИМА'!$K$5:$K$642)</f>
        <v>0</v>
      </c>
      <c r="G84" s="334"/>
      <c r="H84" s="334"/>
      <c r="I84" s="334"/>
      <c r="J84" s="334"/>
    </row>
    <row r="85" spans="1:10" ht="15">
      <c r="A85" s="90"/>
      <c r="B85" s="91" t="s">
        <v>165</v>
      </c>
      <c r="C85" s="92">
        <f>SUM(C6,C14,C21,C27,C32,C38,C45,C47,C54,C62,C68,C73,C77,C79,C83)</f>
        <v>602919500</v>
      </c>
      <c r="D85" s="92">
        <f>SUM(D6,D14,D21,D27,D32,D38,D45,D47,D54,D62,D68,D73,D77,D79,D83)</f>
        <v>100000</v>
      </c>
      <c r="E85" s="92">
        <f>SUM(E6,E14,E21,E27,E32,E38,E45,E47,E54,E62,E68,E73,E77,E79,E83)</f>
        <v>0</v>
      </c>
      <c r="F85" s="92">
        <f>SUM(F6,F14,F21,F27,F32,F38,F45,F47,F54,F62,F68,F73,F77,F79,F83)</f>
        <v>602937500</v>
      </c>
      <c r="G85" s="338"/>
      <c r="H85" s="338"/>
      <c r="I85" s="338"/>
      <c r="J85" s="338"/>
    </row>
    <row r="86" spans="1:10" ht="15">
      <c r="A86" s="53"/>
      <c r="B86" s="53"/>
      <c r="C86" s="54"/>
      <c r="F86" s="307"/>
      <c r="G86" s="307"/>
      <c r="H86" s="307"/>
      <c r="I86" s="307"/>
      <c r="J86" s="307"/>
    </row>
  </sheetData>
  <sheetProtection/>
  <autoFilter ref="A1:A86"/>
  <mergeCells count="1">
    <mergeCell ref="A1:C1"/>
  </mergeCells>
  <conditionalFormatting sqref="C86">
    <cfRule type="cellIs" priority="16" dxfId="3" operator="notEqual" stopIfTrue="1">
      <formula>0</formula>
    </cfRule>
  </conditionalFormatting>
  <conditionalFormatting sqref="C78:J78 C22:J26 C15:J20 C28:J31 C33:J37 C48:J53 C69:J72 C74:J76 C7:J13 C84:J84 C39:J44 C63:J67 C46:J46 C80:J82 C55:J61">
    <cfRule type="expression" priority="15" dxfId="2" stopIfTrue="1">
      <formula>NOT(ISERROR(SEARCH("411",C7)))</formula>
    </cfRule>
  </conditionalFormatting>
  <conditionalFormatting sqref="C86">
    <cfRule type="cellIs" priority="12" dxfId="0" operator="notEqual">
      <formula>0</formula>
    </cfRule>
  </conditionalFormatting>
  <dataValidations count="1">
    <dataValidation errorStyle="warning" type="whole" operator="equal" allowBlank="1" showInputMessage="1" showErrorMessage="1" errorTitle="Упозорење" error="Дошло је до грешке приликом преузимања података у табели &quot;По основ.нам.&quot;" sqref="C86">
      <formula1>0</formula1>
    </dataValidation>
  </dataValidations>
  <printOptions gridLines="1"/>
  <pageMargins left="0.54" right="0.16" top="0.46" bottom="0.65" header="0.17" footer="0.18"/>
  <pageSetup horizontalDpi="600" verticalDpi="600" orientation="portrait" scale="99" r:id="rId1"/>
  <headerFooter>
    <oddFooter>&amp;R&amp;P</oddFooter>
  </headerFooter>
  <rowBreaks count="2" manualBreakCount="2">
    <brk id="44" max="5" man="1"/>
    <brk id="85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1:G9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83" sqref="H83"/>
    </sheetView>
  </sheetViews>
  <sheetFormatPr defaultColWidth="9.140625" defaultRowHeight="15"/>
  <cols>
    <col min="1" max="1" width="6.7109375" style="47" customWidth="1"/>
    <col min="2" max="2" width="10.421875" style="47" customWidth="1"/>
    <col min="3" max="3" width="35.7109375" style="56" customWidth="1"/>
    <col min="4" max="4" width="12.421875" style="58" customWidth="1"/>
    <col min="5" max="5" width="11.57421875" style="247" customWidth="1"/>
    <col min="6" max="6" width="24.140625" style="47" customWidth="1"/>
    <col min="7" max="7" width="9.140625" style="311" customWidth="1"/>
    <col min="8" max="16384" width="9.140625" style="47" customWidth="1"/>
  </cols>
  <sheetData>
    <row r="1" spans="1:5" ht="15" customHeight="1" thickBot="1">
      <c r="A1" s="855" t="s">
        <v>836</v>
      </c>
      <c r="B1" s="855"/>
      <c r="C1" s="855"/>
      <c r="D1" s="855"/>
      <c r="E1" s="855"/>
    </row>
    <row r="2" spans="2:6" ht="23.25" customHeight="1">
      <c r="B2" s="319" t="s">
        <v>471</v>
      </c>
      <c r="C2" s="856" t="s">
        <v>213</v>
      </c>
      <c r="D2" s="858" t="s">
        <v>891</v>
      </c>
      <c r="E2" s="859"/>
      <c r="F2" s="853" t="s">
        <v>731</v>
      </c>
    </row>
    <row r="3" spans="1:6" ht="36" customHeight="1">
      <c r="A3" s="102" t="s">
        <v>354</v>
      </c>
      <c r="B3" s="103" t="s">
        <v>212</v>
      </c>
      <c r="C3" s="857"/>
      <c r="D3" s="61" t="s">
        <v>892</v>
      </c>
      <c r="E3" s="61" t="s">
        <v>893</v>
      </c>
      <c r="F3" s="854"/>
    </row>
    <row r="4" spans="1:6" ht="15">
      <c r="A4" s="104" t="s">
        <v>242</v>
      </c>
      <c r="B4" s="105" t="s">
        <v>355</v>
      </c>
      <c r="C4" s="105" t="s">
        <v>220</v>
      </c>
      <c r="D4" s="106">
        <v>4</v>
      </c>
      <c r="E4" s="240">
        <v>5</v>
      </c>
      <c r="F4" s="152">
        <v>6</v>
      </c>
    </row>
    <row r="5" spans="1:6" ht="15">
      <c r="A5" s="107" t="s">
        <v>397</v>
      </c>
      <c r="B5" s="108"/>
      <c r="C5" s="109" t="s">
        <v>421</v>
      </c>
      <c r="D5" s="110">
        <f>SUM(D6:D9)</f>
        <v>4200000</v>
      </c>
      <c r="E5" s="241">
        <f>SUM(E6:E9)</f>
        <v>0</v>
      </c>
      <c r="F5" s="111"/>
    </row>
    <row r="6" spans="1:6" ht="26.25">
      <c r="A6" s="112"/>
      <c r="B6" s="113" t="s">
        <v>383</v>
      </c>
      <c r="C6" s="114" t="s">
        <v>615</v>
      </c>
      <c r="D6" s="115">
        <f>SUMIF('ПО КОРИСНИЦИМА'!$G$4:$G$1306,"Свега за програмску активност 1101-0001:",'ПО КОРИСНИЦИМА'!$H$4:$H$1306)</f>
        <v>3200000</v>
      </c>
      <c r="E6" s="115">
        <f>SUMIF('ПО КОРИСНИЦИМА'!$G$4:$G$1306,"Свега за програмску активност 1101-0001:",'ПО КОРИСНИЦИМА'!$I$4:$I$1306)</f>
        <v>0</v>
      </c>
      <c r="F6" s="222" t="s">
        <v>732</v>
      </c>
    </row>
    <row r="7" spans="1:6" ht="15">
      <c r="A7" s="112"/>
      <c r="B7" s="113" t="s">
        <v>384</v>
      </c>
      <c r="C7" s="114" t="s">
        <v>616</v>
      </c>
      <c r="D7" s="115">
        <f>SUMIF('ПО КОРИСНИЦИМА'!$G$4:$G$1306,"Свега за програмску активност 1101-0002:",'ПО КОРИСНИЦИМА'!$H$4:$H$1306)</f>
        <v>0</v>
      </c>
      <c r="E7" s="115">
        <f>SUMIF('ПО КОРИСНИЦИМА'!$G$4:$G$1306,"Свега за програмску активност 1101-0002:",'ПО КОРИСНИЦИМА'!$I$4:$I$1306)</f>
        <v>0</v>
      </c>
      <c r="F7" s="116"/>
    </row>
    <row r="8" spans="1:6" ht="26.25">
      <c r="A8" s="112"/>
      <c r="B8" s="113" t="s">
        <v>613</v>
      </c>
      <c r="C8" s="114" t="s">
        <v>617</v>
      </c>
      <c r="D8" s="115">
        <f>SUMIF('ПО КОРИСНИЦИМА'!$G$4:$G$1306,"Свега за програмску активност 1101-0003:",'ПО КОРИСНИЦИМА'!$H$4:$H$1306)</f>
        <v>1000000</v>
      </c>
      <c r="E8" s="115">
        <f>SUMIF('ПО КОРИСНИЦИМА'!$G$4:$G$1306,"Свега за програмску активност 1101-0003:",'ПО КОРИСНИЦИМА'!$I$4:$I$1306)</f>
        <v>0</v>
      </c>
      <c r="F8" s="222" t="s">
        <v>732</v>
      </c>
    </row>
    <row r="9" spans="1:6" ht="26.25">
      <c r="A9" s="112"/>
      <c r="B9" s="113" t="s">
        <v>614</v>
      </c>
      <c r="C9" s="114" t="s">
        <v>618</v>
      </c>
      <c r="D9" s="115">
        <f>SUMIF('ПО КОРИСНИЦИМА'!$G$4:$G$1306,"Свега за програмску активност 1101-0004:",'ПО КОРИСНИЦИМА'!$H$4:$H$1306)</f>
        <v>0</v>
      </c>
      <c r="E9" s="115">
        <f>SUMIF('ПО КОРИСНИЦИМА'!$G$4:$G$1306,"Свега за програмску активност 1101-0004:",'ПО КОРИСНИЦИМА'!$I$4:$I$1306)</f>
        <v>0</v>
      </c>
      <c r="F9" s="222" t="s">
        <v>732</v>
      </c>
    </row>
    <row r="10" spans="1:6" ht="15">
      <c r="A10" s="132" t="s">
        <v>630</v>
      </c>
      <c r="B10" s="108"/>
      <c r="C10" s="109" t="s">
        <v>422</v>
      </c>
      <c r="D10" s="117">
        <f>SUM(D11:D15)</f>
        <v>60450000</v>
      </c>
      <c r="E10" s="242">
        <f>SUM(E11:E15)</f>
        <v>0</v>
      </c>
      <c r="F10" s="111"/>
    </row>
    <row r="11" spans="1:6" ht="15">
      <c r="A11" s="112"/>
      <c r="B11" s="218" t="s">
        <v>631</v>
      </c>
      <c r="C11" s="118" t="s">
        <v>628</v>
      </c>
      <c r="D11" s="115">
        <f>SUMIF('ПО КОРИСНИЦИМА'!$G$4:$G$1306,"Свега за програмску активност 1102-0001:",'ПО КОРИСНИЦИМА'!$H$4:$H$1306)</f>
        <v>28000000</v>
      </c>
      <c r="E11" s="115">
        <f>SUMIF('ПО КОРИСНИЦИМА'!$G$4:$G$1306,"Свега за програмску активност 1102-0001:",'ПО КОРИСНИЦИМА'!$I$4:$I$1306)</f>
        <v>0</v>
      </c>
      <c r="F11" s="116" t="s">
        <v>101</v>
      </c>
    </row>
    <row r="12" spans="1:6" ht="15">
      <c r="A12" s="112"/>
      <c r="B12" s="218" t="s">
        <v>632</v>
      </c>
      <c r="C12" s="118" t="s">
        <v>629</v>
      </c>
      <c r="D12" s="115">
        <f>SUMIF('ПО КОРИСНИЦИМА'!$G$4:$G$1306,"Свега за програмску активност 1102-0002:",'ПО КОРИСНИЦИМА'!$H$4:$H$1306)</f>
        <v>10000000</v>
      </c>
      <c r="E12" s="115">
        <f>SUMIF('ПО КОРИСНИЦИМА'!$G$4:$G$1306,"Свега за програмску активност 1102-0002:",'ПО КОРИСНИЦИМА'!$I$4:$I$1306)</f>
        <v>0</v>
      </c>
      <c r="F12" s="116" t="s">
        <v>101</v>
      </c>
    </row>
    <row r="13" spans="1:6" ht="15">
      <c r="A13" s="112"/>
      <c r="B13" s="218" t="s">
        <v>633</v>
      </c>
      <c r="C13" s="120" t="s">
        <v>636</v>
      </c>
      <c r="D13" s="115">
        <f>SUMIF('ПО КОРИСНИЦИМА'!$G$4:$G$1306,"Свега за програмску активност 1102-0003:",'ПО КОРИСНИЦИМА'!$H$4:$H$1306)</f>
        <v>19000000</v>
      </c>
      <c r="E13" s="115">
        <f>SUMIF('ПО КОРИСНИЦИМА'!$G$4:$G$1306,"Свега за програмску активност 1102-0003:",'ПО КОРИСНИЦИМА'!$I$4:$I$1306)</f>
        <v>0</v>
      </c>
      <c r="F13" s="116" t="s">
        <v>101</v>
      </c>
    </row>
    <row r="14" spans="1:6" ht="15">
      <c r="A14" s="112"/>
      <c r="B14" s="218" t="s">
        <v>634</v>
      </c>
      <c r="C14" s="227" t="s">
        <v>657</v>
      </c>
      <c r="D14" s="115">
        <f>SUMIF('ПО КОРИСНИЦИМА'!$G$4:$G$1306,"Свега за програмску активност 1102-0004:",'ПО КОРИСНИЦИМА'!$H$4:$H$1306)</f>
        <v>950000</v>
      </c>
      <c r="E14" s="115">
        <f>SUMIF('ПО КОРИСНИЦИМА'!$G$4:$G$1306,"Свега за програмску активност 1102-0004:",'ПО КОРИСНИЦИМА'!$I$4:$I$1306)</f>
        <v>0</v>
      </c>
      <c r="F14" s="116" t="s">
        <v>101</v>
      </c>
    </row>
    <row r="15" spans="1:6" ht="15">
      <c r="A15" s="112"/>
      <c r="B15" s="219" t="s">
        <v>635</v>
      </c>
      <c r="C15" s="220" t="s">
        <v>78</v>
      </c>
      <c r="D15" s="115">
        <f>SUMIF('ПО КОРИСНИЦИМА'!$G$4:$G$1306,"Свега за програмску активност 1102-0008:",'ПО КОРИСНИЦИМА'!$H$4:$H$1306)</f>
        <v>2500000</v>
      </c>
      <c r="E15" s="115">
        <f>SUMIF('ПО КОРИСНИЦИМА'!$G$4:$G$1306,"Свега за програмску активност 1102-0008:",'ПО КОРИСНИЦИМА'!$I$4:$I$1306)</f>
        <v>0</v>
      </c>
      <c r="F15" s="116" t="s">
        <v>101</v>
      </c>
    </row>
    <row r="16" spans="1:6" ht="15">
      <c r="A16" s="107" t="s">
        <v>398</v>
      </c>
      <c r="B16" s="108"/>
      <c r="C16" s="109" t="s">
        <v>423</v>
      </c>
      <c r="D16" s="119">
        <f>SUM(D17:D20)</f>
        <v>5500000</v>
      </c>
      <c r="E16" s="243">
        <f>SUM(E17:E20)</f>
        <v>0</v>
      </c>
      <c r="F16" s="111"/>
    </row>
    <row r="17" spans="1:6" ht="26.25">
      <c r="A17" s="112"/>
      <c r="B17" s="113" t="s">
        <v>319</v>
      </c>
      <c r="C17" s="120" t="s">
        <v>624</v>
      </c>
      <c r="D17" s="115">
        <f>SUMIF('ПО КОРИСНИЦИМА'!$G$4:$G$642,"Свега за програмску активност 1501-0001:",'ПО КОРИСНИЦИМА'!$H$4:$H$642)</f>
        <v>1500000</v>
      </c>
      <c r="E17" s="115">
        <f>SUMIF('ПО КОРИСНИЦИМА'!$G$4:$G$642,"Свега за програмску активност 1501-0001:",'ПО КОРИСНИЦИМА'!$I$4:$I$642)</f>
        <v>0</v>
      </c>
      <c r="F17" s="222" t="s">
        <v>732</v>
      </c>
    </row>
    <row r="18" spans="1:6" ht="26.25">
      <c r="A18" s="112"/>
      <c r="B18" s="113" t="s">
        <v>320</v>
      </c>
      <c r="C18" s="216" t="s">
        <v>625</v>
      </c>
      <c r="D18" s="115">
        <f>SUMIF('ПО КОРИСНИЦИМА'!$G$4:$G$642,"Свега за програмску активност 1501-0002:",'ПО КОРИСНИЦИМА'!$H$4:$H$642)</f>
        <v>4000000</v>
      </c>
      <c r="E18" s="115">
        <f>SUMIF('ПО КОРИСНИЦИМА'!$G$4:$G$642,"Свега за програмску активност 1501-0002:",'ПО КОРИСНИЦИМА'!$I$4:$I$642)</f>
        <v>0</v>
      </c>
      <c r="F18" s="222" t="s">
        <v>736</v>
      </c>
    </row>
    <row r="19" spans="1:6" ht="15">
      <c r="A19" s="112"/>
      <c r="B19" s="113" t="s">
        <v>321</v>
      </c>
      <c r="C19" s="120" t="s">
        <v>322</v>
      </c>
      <c r="D19" s="115">
        <f>SUMIF('ПО КОРИСНИЦИМА'!$G$4:$G$642,"Свега за програмску активност 1501-0003:",'ПО КОРИСНИЦИМА'!$H$4:$H$642)</f>
        <v>0</v>
      </c>
      <c r="E19" s="115">
        <f>SUMIF('ПО КОРИСНИЦИМА'!$G$4:$G$642,"Свега за програмску активност 1501-0003:",'ПО КОРИСНИЦИМА'!$J$4:$J$642)</f>
        <v>0</v>
      </c>
      <c r="F19" s="116"/>
    </row>
    <row r="20" spans="1:6" ht="26.25">
      <c r="A20" s="112"/>
      <c r="B20" s="215" t="s">
        <v>323</v>
      </c>
      <c r="C20" s="114"/>
      <c r="D20" s="115">
        <f>SUMIF('ПО КОРИСНИЦИМА'!$G$4:$G$642,"Свега за пројекат 1501-0004:",'ПО КОРИСНИЦИМА'!$H$4:$H$642)</f>
        <v>0</v>
      </c>
      <c r="E20" s="115">
        <f>SUMIF('ПО КОРИСНИЦИМА'!$G$4:$G$642,"Свега за програмску активност 1501-0004:",'ПО КОРИСНИЦИМА'!$J$4:$J$642)</f>
        <v>0</v>
      </c>
      <c r="F20" s="222" t="s">
        <v>735</v>
      </c>
    </row>
    <row r="21" spans="1:7" s="48" customFormat="1" ht="14.25">
      <c r="A21" s="107" t="s">
        <v>399</v>
      </c>
      <c r="B21" s="108"/>
      <c r="C21" s="109" t="s">
        <v>424</v>
      </c>
      <c r="D21" s="119">
        <f>SUM(D22:D23)</f>
        <v>15995000</v>
      </c>
      <c r="E21" s="243">
        <f>SUM(E22:E23)</f>
        <v>0</v>
      </c>
      <c r="F21" s="121"/>
      <c r="G21" s="312"/>
    </row>
    <row r="22" spans="1:6" ht="26.25">
      <c r="A22" s="112"/>
      <c r="B22" s="122" t="s">
        <v>181</v>
      </c>
      <c r="C22" s="123" t="s">
        <v>324</v>
      </c>
      <c r="D22" s="115">
        <f>SUMIF('ПО КОРИСНИЦИМА'!$G$4:$G$642,"Свега за програмску активност 1502-0001:",'ПО КОРИСНИЦИМА'!$H$4:$H$642)</f>
        <v>15725000</v>
      </c>
      <c r="E22" s="115">
        <f>SUMIF('ПО КОРИСНИЦИМА'!$G$4:$G$642,"Свега за програмску активност 1502-0001:",'ПО КОРИСНИЦИМА'!$I$4:$I$642)</f>
        <v>0</v>
      </c>
      <c r="F22" s="223" t="s">
        <v>733</v>
      </c>
    </row>
    <row r="23" spans="1:6" ht="26.25">
      <c r="A23" s="112"/>
      <c r="B23" s="124" t="s">
        <v>335</v>
      </c>
      <c r="C23" s="123" t="s">
        <v>325</v>
      </c>
      <c r="D23" s="115">
        <f>SUMIF('ПО КОРИСНИЦИМА'!$G$4:$G$642,"Свега за програмску активност 1502-0002:",'ПО КОРИСНИЦИМА'!$H$4:$H$642)</f>
        <v>270000</v>
      </c>
      <c r="E23" s="115">
        <f>SUMIF('ПО КОРИСНИЦИМА'!$G$4:$G$642,"Свега за програмску активност 1502-0002:",'ПО КОРИСНИЦИМА'!$I$4:$I$642)</f>
        <v>0</v>
      </c>
      <c r="F23" s="223" t="s">
        <v>733</v>
      </c>
    </row>
    <row r="24" spans="1:7" s="48" customFormat="1" ht="14.25">
      <c r="A24" s="107" t="s">
        <v>400</v>
      </c>
      <c r="B24" s="108"/>
      <c r="C24" s="109" t="s">
        <v>425</v>
      </c>
      <c r="D24" s="119">
        <f>SUM(D25:D26)</f>
        <v>6200000</v>
      </c>
      <c r="E24" s="243">
        <f>SUM(E25:E26)</f>
        <v>0</v>
      </c>
      <c r="F24" s="121"/>
      <c r="G24" s="312"/>
    </row>
    <row r="25" spans="1:6" ht="26.25">
      <c r="A25" s="112"/>
      <c r="B25" s="124" t="s">
        <v>182</v>
      </c>
      <c r="C25" s="114" t="s">
        <v>676</v>
      </c>
      <c r="D25" s="115">
        <f>SUMIF('ПО КОРИСНИЦИМА'!$G$4:$G$642,"Свега за програмску активност 0101-0001:",'ПО КОРИСНИЦИМА'!$H$4:$H$642)</f>
        <v>100000</v>
      </c>
      <c r="E25" s="115">
        <f>SUMIF('ПО КОРИСНИЦИМА'!$G$4:$G$642,"Свега за програмску активност 0101-0001:",'ПО КОРИСНИЦИМА'!$I$4:$I$642)</f>
        <v>0</v>
      </c>
      <c r="F25" s="222" t="s">
        <v>732</v>
      </c>
    </row>
    <row r="26" spans="1:6" ht="26.25">
      <c r="A26" s="112"/>
      <c r="B26" s="124" t="s">
        <v>180</v>
      </c>
      <c r="C26" s="114" t="s">
        <v>677</v>
      </c>
      <c r="D26" s="115">
        <f>SUMIF('ПО КОРИСНИЦИМА'!$G$4:$G$642,"Свега за програмску активност 0101-0002:",'ПО КОРИСНИЦИМА'!$H$4:$H$642)</f>
        <v>6100000</v>
      </c>
      <c r="E26" s="115">
        <f>SUMIF('ПО КОРИСНИЦИМА'!$G$4:$G$642,"Свега за програмску активност 0101-0002:",'ПО КОРИСНИЦИМА'!$I$4:$I$642)</f>
        <v>0</v>
      </c>
      <c r="F26" s="222" t="s">
        <v>732</v>
      </c>
    </row>
    <row r="27" spans="1:7" s="48" customFormat="1" ht="14.25">
      <c r="A27" s="107" t="s">
        <v>401</v>
      </c>
      <c r="B27" s="108"/>
      <c r="C27" s="109" t="s">
        <v>426</v>
      </c>
      <c r="D27" s="119">
        <f>SUM(D28:D33)</f>
        <v>600000</v>
      </c>
      <c r="E27" s="243">
        <f>SUM(E28:E33)</f>
        <v>0</v>
      </c>
      <c r="F27" s="121"/>
      <c r="G27" s="312"/>
    </row>
    <row r="28" spans="1:6" ht="26.25">
      <c r="A28" s="112"/>
      <c r="B28" s="127" t="s">
        <v>326</v>
      </c>
      <c r="C28" s="120" t="s">
        <v>684</v>
      </c>
      <c r="D28" s="128">
        <f>SUMIF('ПО КОРИСНИЦИМА'!$G$4:$G$642,"Свега за програмску активност 0401-0001:",'ПО КОРИСНИЦИМА'!$H$4:$H$1306)</f>
        <v>0</v>
      </c>
      <c r="E28" s="128">
        <f>SUMIF('ПО КОРИСНИЦИМА'!$G$4:$G$642,"Свега за програмску активност 0401-0001:",'ПО КОРИСНИЦИМА'!$H$4:$H$1306)</f>
        <v>0</v>
      </c>
      <c r="F28" s="222" t="s">
        <v>732</v>
      </c>
    </row>
    <row r="29" spans="1:6" ht="26.25">
      <c r="A29" s="112"/>
      <c r="B29" s="127" t="s">
        <v>327</v>
      </c>
      <c r="C29" s="118" t="s">
        <v>328</v>
      </c>
      <c r="D29" s="128">
        <f>SUMIF('ПО КОРИСНИЦИМА'!$G$4:$G$642,"Свега за програмску активност 0401-0002:",'ПО КОРИСНИЦИМА'!$H$4:$H$1306)</f>
        <v>0</v>
      </c>
      <c r="E29" s="128">
        <f>SUMIF('ПО КОРИСНИЦИМА'!$G$4:$G$642,"Свега за програмску активност 0401-0002:",'ПО КОРИСНИЦИМА'!$H$4:$H$1306)</f>
        <v>0</v>
      </c>
      <c r="F29" s="222" t="s">
        <v>732</v>
      </c>
    </row>
    <row r="30" spans="1:6" ht="15">
      <c r="A30" s="112"/>
      <c r="B30" s="127" t="s">
        <v>329</v>
      </c>
      <c r="C30" s="118" t="s">
        <v>174</v>
      </c>
      <c r="D30" s="128">
        <f>SUMIF('ПО КОРИСНИЦИМА'!$G$4:$G$642,"Свега за програмску активност 0401-0003:",'ПО КОРИСНИЦИМА'!$H$4:$H$1306)</f>
        <v>0</v>
      </c>
      <c r="E30" s="128">
        <f>SUMIF('ПО КОРИСНИЦИМА'!$G$4:$G$642,"Свега за програмску активност 0401-0003:",'ПО КОРИСНИЦИМА'!$H$4:$H$1306)</f>
        <v>0</v>
      </c>
      <c r="F30" s="116"/>
    </row>
    <row r="31" spans="1:6" ht="26.25">
      <c r="A31" s="112"/>
      <c r="B31" s="127" t="s">
        <v>175</v>
      </c>
      <c r="C31" s="120" t="s">
        <v>76</v>
      </c>
      <c r="D31" s="128">
        <f>SUMIF('ПО КОРИСНИЦИМА'!$G$4:$G$642,"Свега за програмску активност 0401-0004:",'ПО КОРИСНИЦИМА'!$H$4:$H$1306)</f>
        <v>100000</v>
      </c>
      <c r="E31" s="128">
        <f>SUMIF('ПО КОРИСНИЦИМА'!$G$4:$G$642,"Свега за програмску активност 0401-0004:",'ПО КОРИСНИЦИМА'!$I$4:$I$1306)</f>
        <v>0</v>
      </c>
      <c r="F31" s="222" t="s">
        <v>732</v>
      </c>
    </row>
    <row r="32" spans="1:6" ht="15">
      <c r="A32" s="112"/>
      <c r="B32" s="127" t="s">
        <v>686</v>
      </c>
      <c r="C32" s="114" t="s">
        <v>328</v>
      </c>
      <c r="D32" s="128">
        <f>SUMIF('ПО КОРИСНИЦИМА'!$G$4:$G$642,"Свега за програмску активност 0401-0005:",'ПО КОРИСНИЦИМА'!$H$4:$H$1306)</f>
        <v>0</v>
      </c>
      <c r="E32" s="128">
        <f>SUMIF('ПО КОРИСНИЦИМА'!$G$4:$G$642,"Свега за програмску активност 0401-0005:",'ПО КОРИСНИЦИМА'!$H$4:$H$1306)</f>
        <v>0</v>
      </c>
      <c r="F32" s="116"/>
    </row>
    <row r="33" spans="1:6" ht="26.25">
      <c r="A33" s="112"/>
      <c r="B33" s="127" t="s">
        <v>687</v>
      </c>
      <c r="C33" s="114" t="s">
        <v>688</v>
      </c>
      <c r="D33" s="128">
        <f>SUMIF('ПО КОРИСНИЦИМА'!$G$4:$G$642,"Свега за програмску активност 0401-0006:",'ПО КОРИСНИЦИМА'!$H$4:$H$1306)</f>
        <v>500000</v>
      </c>
      <c r="E33" s="128">
        <f>SUMIF('ПО КОРИСНИЦИМА'!$G$4:$G$642,"Свега за програмску активност 0401-0006:",'ПО КОРИСНИЦИМА'!$I$4:$I$1306)</f>
        <v>0</v>
      </c>
      <c r="F33" s="222" t="s">
        <v>732</v>
      </c>
    </row>
    <row r="34" spans="1:7" s="48" customFormat="1" ht="14.25">
      <c r="A34" s="107" t="s">
        <v>402</v>
      </c>
      <c r="B34" s="108"/>
      <c r="C34" s="109" t="s">
        <v>427</v>
      </c>
      <c r="D34" s="117">
        <f>SUM(D35:D39)</f>
        <v>8700000</v>
      </c>
      <c r="E34" s="242">
        <f>SUM(E35:E38)</f>
        <v>0</v>
      </c>
      <c r="F34" s="121"/>
      <c r="G34" s="312"/>
    </row>
    <row r="35" spans="1:6" ht="26.25">
      <c r="A35" s="112"/>
      <c r="B35" s="122" t="s">
        <v>211</v>
      </c>
      <c r="C35" s="123" t="s">
        <v>670</v>
      </c>
      <c r="D35" s="115">
        <f>SUMIF('ПО КОРИСНИЦИМА'!$G$4:$G$642,"Свега за програмску активност 0701-0001:",'ПО КОРИСНИЦИМА'!$H$4:$H$642)</f>
        <v>0</v>
      </c>
      <c r="E35" s="115">
        <f>SUMIF('ПО КОРИСНИЦИМА'!$G$4:$G$642,"Свега за програмску активност 0701-0001:",'ПО КОРИСНИЦИМА'!$H$4:$H$642)</f>
        <v>0</v>
      </c>
      <c r="F35" s="222" t="s">
        <v>732</v>
      </c>
    </row>
    <row r="36" spans="1:6" ht="26.25">
      <c r="A36" s="112"/>
      <c r="B36" s="122" t="s">
        <v>382</v>
      </c>
      <c r="C36" s="123" t="s">
        <v>669</v>
      </c>
      <c r="D36" s="115">
        <f>SUMIF('ПО КОРИСНИЦИМА'!$G$4:$G$642,"Свега за програмску активност 0701-0002:",'ПО КОРИСНИЦИМА'!$H$4:$H$642)</f>
        <v>6200000</v>
      </c>
      <c r="E36" s="115">
        <f>SUMIF('ПО КОРИСНИЦИМА'!$G$4:$G$642,"Свега за програмску активност 0701-0002:",'ПО КОРИСНИЦИМА'!$I$4:$I$642)</f>
        <v>0</v>
      </c>
      <c r="F36" s="222" t="s">
        <v>732</v>
      </c>
    </row>
    <row r="37" spans="1:6" ht="15">
      <c r="A37" s="125"/>
      <c r="B37" s="122" t="s">
        <v>667</v>
      </c>
      <c r="C37" s="129" t="s">
        <v>668</v>
      </c>
      <c r="D37" s="115">
        <f>SUMIF('ПО КОРИСНИЦИМА'!$G$4:$G$642,"Свега за програмску активност 0701-0003:",'ПО КОРИСНИЦИМА'!$H$4:$H$642)</f>
        <v>0</v>
      </c>
      <c r="E37" s="115">
        <f>SUMIF('ПО КОРИСНИЦИМА'!$G$4:$G$642,"Свега за програмску активност 0701-0003:",'ПО КОРИСНИЦИМА'!$H$4:$H$642)</f>
        <v>0</v>
      </c>
      <c r="F37" s="116"/>
    </row>
    <row r="38" spans="1:6" ht="26.25">
      <c r="A38" s="125"/>
      <c r="B38" s="122" t="s">
        <v>660</v>
      </c>
      <c r="C38" s="129" t="s">
        <v>666</v>
      </c>
      <c r="D38" s="115">
        <f>SUMIF('ПО КОРИСНИЦИМА'!$G$4:$G$642,"Свега за програмску активност 0701-0004:",'ПО КОРИСНИЦИМА'!$H$4:$H$642)</f>
        <v>2500000</v>
      </c>
      <c r="E38" s="115">
        <f>SUMIF('ПО КОРИСНИЦИМА'!$G$4:$G$642,"Свега за програмску активност 0701-0004:",'ПО КОРИСНИЦИМА'!$I$4:$I$642)</f>
        <v>0</v>
      </c>
      <c r="F38" s="222" t="s">
        <v>732</v>
      </c>
    </row>
    <row r="39" spans="1:6" ht="26.25">
      <c r="A39" s="125"/>
      <c r="B39" s="122" t="s">
        <v>801</v>
      </c>
      <c r="C39" s="129" t="s">
        <v>802</v>
      </c>
      <c r="D39" s="115">
        <f>SUMIF('ПО КОРИСНИЦИМА'!$G$4:$G$642,"Свега за програмску активност 0701-0005:",'ПО КОРИСНИЦИМА'!$H$4:$H$642)</f>
        <v>0</v>
      </c>
      <c r="E39" s="115">
        <f>SUMIF('ПО КОРИСНИЦИМА'!$G$4:$G$642,"Свега за програмску активност 0701-0005:",'ПО КОРИСНИЦИМА'!$I$4:$I$642)</f>
        <v>0</v>
      </c>
      <c r="F39" s="222" t="s">
        <v>732</v>
      </c>
    </row>
    <row r="40" spans="1:7" s="48" customFormat="1" ht="14.25">
      <c r="A40" s="107" t="s">
        <v>403</v>
      </c>
      <c r="B40" s="108"/>
      <c r="C40" s="109" t="s">
        <v>277</v>
      </c>
      <c r="D40" s="110">
        <f>SUM(D41:D42)</f>
        <v>69427000</v>
      </c>
      <c r="E40" s="241">
        <f>SUM(E41:E42)</f>
        <v>5984161.08</v>
      </c>
      <c r="F40" s="121"/>
      <c r="G40" s="312"/>
    </row>
    <row r="41" spans="1:6" ht="15">
      <c r="A41" s="112"/>
      <c r="B41" s="124" t="s">
        <v>345</v>
      </c>
      <c r="C41" s="123" t="s">
        <v>177</v>
      </c>
      <c r="D41" s="115">
        <f>SUMIF('ПО КОРИСНИЦИМА'!$G$4:$G$642,"Свега за програмску активност 2001-0001:",'ПО КОРИСНИЦИМА'!$H$4:$H$642)</f>
        <v>69427000</v>
      </c>
      <c r="E41" s="115">
        <v>5984161.08</v>
      </c>
      <c r="F41" s="147" t="s">
        <v>100</v>
      </c>
    </row>
    <row r="42" spans="1:6" ht="15">
      <c r="A42" s="125"/>
      <c r="B42" s="124" t="s">
        <v>396</v>
      </c>
      <c r="C42" s="114"/>
      <c r="D42" s="126"/>
      <c r="E42" s="126"/>
      <c r="F42" s="116"/>
    </row>
    <row r="43" spans="1:7" s="48" customFormat="1" ht="14.25">
      <c r="A43" s="107" t="s">
        <v>404</v>
      </c>
      <c r="B43" s="108"/>
      <c r="C43" s="109" t="s">
        <v>278</v>
      </c>
      <c r="D43" s="117">
        <f>SUM(D44:D44)</f>
        <v>24000000</v>
      </c>
      <c r="E43" s="242">
        <f>SUM(E44:E44)</f>
        <v>0</v>
      </c>
      <c r="F43" s="121"/>
      <c r="G43" s="312"/>
    </row>
    <row r="44" spans="1:6" ht="26.25">
      <c r="A44" s="112"/>
      <c r="B44" s="124" t="s">
        <v>183</v>
      </c>
      <c r="C44" s="123" t="s">
        <v>178</v>
      </c>
      <c r="D44" s="115">
        <f>SUMIF('ПО КОРИСНИЦИМА'!$G$4:$G$669,"Свега за програмску активност 2002-0001:",'ПО КОРИСНИЦИМА'!$H$4:$H$669)</f>
        <v>24000000</v>
      </c>
      <c r="E44" s="115">
        <f>SUMIF('ПО КОРИСНИЦИМА'!$G$4:$G$669,"Свега за програмску активност 2002-0001:",'ПО КОРИСНИЦИМА'!$I$4:$I$669)</f>
        <v>0</v>
      </c>
      <c r="F44" s="130" t="s">
        <v>102</v>
      </c>
    </row>
    <row r="45" spans="1:7" s="48" customFormat="1" ht="14.25">
      <c r="A45" s="107" t="s">
        <v>405</v>
      </c>
      <c r="B45" s="108"/>
      <c r="C45" s="109" t="s">
        <v>279</v>
      </c>
      <c r="D45" s="117">
        <f>SUM(D46:D46)</f>
        <v>9000000</v>
      </c>
      <c r="E45" s="242">
        <f>SUM(E46:E46)</f>
        <v>0</v>
      </c>
      <c r="F45" s="121"/>
      <c r="G45" s="312"/>
    </row>
    <row r="46" spans="1:6" ht="15">
      <c r="A46" s="131"/>
      <c r="B46" s="124" t="s">
        <v>347</v>
      </c>
      <c r="C46" s="123" t="s">
        <v>179</v>
      </c>
      <c r="D46" s="226">
        <f>SUMIF('ПО КОРИСНИЦИМА'!$G$4:$G$642,"Свега за програмску активност 2003-0001:",'ПО КОРИСНИЦИМА'!$H$4:$H$642)</f>
        <v>9000000</v>
      </c>
      <c r="E46" s="226">
        <f>SUMIF('ПО КОРИСНИЦИМА'!$G$4:$G$642,"Свега за програмску активност 2003-0001:",'ПО КОРИСНИЦИМА'!$I$4:$I$642)</f>
        <v>0</v>
      </c>
      <c r="F46" s="116" t="s">
        <v>103</v>
      </c>
    </row>
    <row r="47" spans="1:7" s="99" customFormat="1" ht="14.25">
      <c r="A47" s="132" t="s">
        <v>406</v>
      </c>
      <c r="B47" s="133"/>
      <c r="C47" s="109" t="s">
        <v>280</v>
      </c>
      <c r="D47" s="110">
        <f>SUM(D48:D56)</f>
        <v>58000000</v>
      </c>
      <c r="E47" s="241">
        <f>SUM(E48:E54)</f>
        <v>1602864.21</v>
      </c>
      <c r="F47" s="134"/>
      <c r="G47" s="313"/>
    </row>
    <row r="48" spans="1:7" s="59" customFormat="1" ht="26.25">
      <c r="A48" s="135"/>
      <c r="B48" s="136" t="s">
        <v>184</v>
      </c>
      <c r="C48" s="137" t="s">
        <v>185</v>
      </c>
      <c r="D48" s="115">
        <f>SUMIF('ПО КОРИСНИЦИМА'!$G$4:$G$642,"Свега за програмску активност 0901-0001:",'ПО КОРИСНИЦИМА'!$H$4:$H$642)</f>
        <v>500000</v>
      </c>
      <c r="E48" s="115">
        <v>1602864.21</v>
      </c>
      <c r="F48" s="130" t="s">
        <v>4</v>
      </c>
      <c r="G48" s="314"/>
    </row>
    <row r="49" spans="1:7" s="59" customFormat="1" ht="25.5">
      <c r="A49" s="135"/>
      <c r="B49" s="136" t="s">
        <v>186</v>
      </c>
      <c r="C49" s="142" t="s">
        <v>187</v>
      </c>
      <c r="D49" s="115">
        <f>SUMIF('ПО КОРИСНИЦИМА'!$G$4:$G$642,"Свега за програмску активност 0901-0002:",'ПО КОРИСНИЦИМА'!$H$4:$H$642)</f>
        <v>0</v>
      </c>
      <c r="E49" s="115">
        <f>SUMIF('ПО КОРИСНИЦИМА'!$G$4:$G$642,"Свега за програмску активност 0901-0002:",'ПО КОРИСНИЦИМА'!$H$4:$H$642)</f>
        <v>0</v>
      </c>
      <c r="F49" s="116"/>
      <c r="G49" s="314"/>
    </row>
    <row r="50" spans="1:7" s="59" customFormat="1" ht="39">
      <c r="A50" s="135"/>
      <c r="B50" s="136" t="s">
        <v>188</v>
      </c>
      <c r="C50" s="137" t="s">
        <v>189</v>
      </c>
      <c r="D50" s="115">
        <f>SUMIF('ПО КОРИСНИЦИМА'!$G$4:$G$642,"Свега за програмску активност 0901-0003:",'ПО КОРИСНИЦИМА'!$H$4:$H$642)</f>
        <v>0</v>
      </c>
      <c r="E50" s="115">
        <f>SUMIF('ПО КОРИСНИЦИМА'!$G$4:$G$642,"Свега за програмску активност 0901-0003:",'ПО КОРИСНИЦИМА'!$I$4:$I$642)</f>
        <v>0</v>
      </c>
      <c r="F50" s="223" t="s">
        <v>734</v>
      </c>
      <c r="G50" s="314"/>
    </row>
    <row r="51" spans="1:7" s="59" customFormat="1" ht="39">
      <c r="A51" s="135"/>
      <c r="B51" s="136" t="s">
        <v>190</v>
      </c>
      <c r="C51" s="137" t="s">
        <v>191</v>
      </c>
      <c r="D51" s="115">
        <f>SUMIF('ПО КОРИСНИЦИМА'!$G$4:$G$642,"Свега за програмску активност 0901-0004:",'ПО КОРИСНИЦИМА'!$H$4:$H$642)</f>
        <v>0</v>
      </c>
      <c r="E51" s="115">
        <f>SUMIF('ПО КОРИСНИЦИМА'!$G$4:$G$642,"Свега за програмску активност 0901-0004:",'ПО КОРИСНИЦИМА'!$H$4:$H$642)</f>
        <v>0</v>
      </c>
      <c r="F51" s="223" t="s">
        <v>734</v>
      </c>
      <c r="G51" s="314"/>
    </row>
    <row r="52" spans="1:7" s="59" customFormat="1" ht="39">
      <c r="A52" s="135"/>
      <c r="B52" s="136" t="s">
        <v>192</v>
      </c>
      <c r="C52" s="137" t="s">
        <v>797</v>
      </c>
      <c r="D52" s="115">
        <f>SUMIF('ПО КОРИСНИЦИМА'!$G$4:$G$689,"Свега за програмску активност 0901-0005:",'ПО КОРИСНИЦИМА'!$H$4:$H$689)</f>
        <v>13000000</v>
      </c>
      <c r="E52" s="115">
        <f>SUMIF('ПО КОРИСНИЦИМА'!$G$4:$G$642,"Свега за програмску активност 0901-0005:",'ПО КОРИСНИЦИМА'!$I$4:$I$642)</f>
        <v>0</v>
      </c>
      <c r="F52" s="223" t="s">
        <v>734</v>
      </c>
      <c r="G52" s="314"/>
    </row>
    <row r="53" spans="1:7" s="59" customFormat="1" ht="26.25">
      <c r="A53" s="135"/>
      <c r="B53" s="136" t="s">
        <v>841</v>
      </c>
      <c r="C53" s="405" t="s">
        <v>851</v>
      </c>
      <c r="D53" s="115">
        <f>SUMIF('ПО КОРИСНИЦИМА'!$G$4:$G$642,"Свега за програмску активност 0901-0016:",'ПО КОРИСНИЦИМА'!$H$4:$H$642)</f>
        <v>25000000</v>
      </c>
      <c r="E53" s="115">
        <f>SUMIF('ПО КОРИСНИЦИМА'!$G$4:$G$642,"Свега за програмску активност 0901-0006:",'ПО КОРИСНИЦИМА'!$I$4:$I$642)</f>
        <v>0</v>
      </c>
      <c r="F53" s="225" t="s">
        <v>744</v>
      </c>
      <c r="G53" s="314"/>
    </row>
    <row r="54" spans="1:7" s="59" customFormat="1" ht="15">
      <c r="A54" s="135"/>
      <c r="B54" s="136" t="s">
        <v>843</v>
      </c>
      <c r="C54" s="217" t="s">
        <v>193</v>
      </c>
      <c r="D54" s="115">
        <f>SUMIF('ПО КОРИСНИЦИМА'!$G$4:$G$642,"Свега за програмску активност 0901-0018:",'ПО КОРИСНИЦИМА'!$H$4:$H$642)</f>
        <v>3000000</v>
      </c>
      <c r="E54" s="115">
        <f>SUMIF('ПО КОРИСНИЦИМА'!$G$4:$G$642,"Свега за програмску активност 0901-0007:",'ПО КОРИСНИЦИМА'!$I$4:$I$642)</f>
        <v>0</v>
      </c>
      <c r="F54" s="225" t="s">
        <v>863</v>
      </c>
      <c r="G54" s="314"/>
    </row>
    <row r="55" spans="1:7" s="59" customFormat="1" ht="39">
      <c r="A55" s="135"/>
      <c r="B55" s="136" t="s">
        <v>837</v>
      </c>
      <c r="C55" s="217" t="s">
        <v>852</v>
      </c>
      <c r="D55" s="115">
        <f>SUMIF('ПО КОРИСНИЦИМА'!$G$4:$G$642,"Свега за програмску активност 0901-0019:",'ПО КОРИСНИЦИМА'!$H$4:$H$642)</f>
        <v>8500000</v>
      </c>
      <c r="E55" s="115">
        <f>SUMIF('ПО КОРИСНИЦИМА'!$G$4:$G$642,"Свега за програмску активност 0901-0009:",'ПО КОРИСНИЦИМА'!$I$4:$I$642)</f>
        <v>0</v>
      </c>
      <c r="F55" s="223" t="s">
        <v>734</v>
      </c>
      <c r="G55" s="314"/>
    </row>
    <row r="56" spans="1:7" s="59" customFormat="1" ht="15">
      <c r="A56" s="135"/>
      <c r="B56" s="136" t="s">
        <v>845</v>
      </c>
      <c r="C56" s="217" t="s">
        <v>853</v>
      </c>
      <c r="D56" s="115">
        <f>SUMIF('ПО КОРИСНИЦИМА'!$G$4:$G$642,"Свега за програмску активност 0901-0020:",'ПО КОРИСНИЦИМА'!$H$4:$H$642)</f>
        <v>8000000</v>
      </c>
      <c r="E56" s="115"/>
      <c r="F56" s="223"/>
      <c r="G56" s="314"/>
    </row>
    <row r="57" spans="1:7" s="99" customFormat="1" ht="14.25">
      <c r="A57" s="132" t="s">
        <v>467</v>
      </c>
      <c r="B57" s="133"/>
      <c r="C57" s="109" t="s">
        <v>281</v>
      </c>
      <c r="D57" s="117">
        <f>SUM(D58:D60)</f>
        <v>5530000</v>
      </c>
      <c r="E57" s="242">
        <f>SUM(E58:E60)</f>
        <v>0</v>
      </c>
      <c r="F57" s="138"/>
      <c r="G57" s="313"/>
    </row>
    <row r="58" spans="1:7" s="59" customFormat="1" ht="15">
      <c r="A58" s="135"/>
      <c r="B58" s="136" t="s">
        <v>198</v>
      </c>
      <c r="C58" s="123" t="s">
        <v>194</v>
      </c>
      <c r="D58" s="115">
        <f>SUMIF('ПО КОРИСНИЦИМА'!$G$4:$G$1362,"Свега за програмску активност 1801-0001:",'ПО КОРИСНИЦИМА'!$H$4:$H$1362)</f>
        <v>5200000</v>
      </c>
      <c r="E58" s="115">
        <f>SUMIF('ПО КОРИСНИЦИМА'!$G$4:$G$1362,"Свега за програмску активност 1801-0001:",'ПО КОРИСНИЦИМА'!$I$4:$I$1362)</f>
        <v>0</v>
      </c>
      <c r="F58" s="116" t="s">
        <v>104</v>
      </c>
      <c r="G58" s="314"/>
    </row>
    <row r="59" spans="1:7" s="59" customFormat="1" ht="26.25">
      <c r="A59" s="139"/>
      <c r="B59" s="136" t="s">
        <v>702</v>
      </c>
      <c r="C59" s="114" t="s">
        <v>266</v>
      </c>
      <c r="D59" s="115">
        <f>SUMIF('ПО КОРИСНИЦИМА'!$G$4:$G$1362,"Свега за програмску активност 1801-0002:",'ПО КОРИСНИЦИМА'!$H$4:$H$2362)</f>
        <v>130000</v>
      </c>
      <c r="E59" s="115">
        <f>SUMIF('ПО КОРИСНИЦИМА'!$G$4:$G$1362,"Свега за програмску активност 1801-0002:",'ПО КОРИСНИЦИМА'!$I$4:$I$2362)</f>
        <v>0</v>
      </c>
      <c r="F59" s="223" t="s">
        <v>745</v>
      </c>
      <c r="G59" s="314"/>
    </row>
    <row r="60" spans="1:7" s="59" customFormat="1" ht="26.25">
      <c r="A60" s="139"/>
      <c r="B60" s="136" t="s">
        <v>706</v>
      </c>
      <c r="C60" s="114" t="s">
        <v>707</v>
      </c>
      <c r="D60" s="115">
        <f>SUMIF('ПО КОРИСНИЦИМА'!$G$4:$G$1362,"Свега за програмску активност 1801-0003:",'ПО КОРИСНИЦИМА'!$H$4:$H$2362)</f>
        <v>200000</v>
      </c>
      <c r="E60" s="115">
        <f>SUMIF('ПО КОРИСНИЦИМА'!$G$4:$G$1362,"Свега за програмску активност 1801-0003:",'ПО КОРИСНИЦИМА'!$I$4:$I$2362)</f>
        <v>0</v>
      </c>
      <c r="F60" s="223" t="s">
        <v>735</v>
      </c>
      <c r="G60" s="314"/>
    </row>
    <row r="61" spans="1:7" s="99" customFormat="1" ht="14.25">
      <c r="A61" s="132" t="s">
        <v>468</v>
      </c>
      <c r="B61" s="133"/>
      <c r="C61" s="109" t="s">
        <v>282</v>
      </c>
      <c r="D61" s="110">
        <f>SUM(D62:D65)</f>
        <v>61536500</v>
      </c>
      <c r="E61" s="241">
        <f>SUM(E62:E65)</f>
        <v>100000</v>
      </c>
      <c r="F61" s="134"/>
      <c r="G61" s="313"/>
    </row>
    <row r="62" spans="1:7" s="59" customFormat="1" ht="15">
      <c r="A62" s="135"/>
      <c r="B62" s="141" t="s">
        <v>196</v>
      </c>
      <c r="C62" s="120" t="s">
        <v>195</v>
      </c>
      <c r="D62" s="115">
        <f>SUMIF('ПО КОРИСНИЦИМА'!$G$4:$G$1306,"Свега за програмску активност 1201-0001:",'ПО КОРИСНИЦИМА'!$H$4:$H$1306)</f>
        <v>50556500</v>
      </c>
      <c r="E62" s="115">
        <f>SUMIF('ПО КОРИСНИЦИМА'!$G$4:$G$1306,"Свега за програмску активност 1201-0001:",'ПО КОРИСНИЦИМА'!$I$4:$I$1306)</f>
        <v>100000</v>
      </c>
      <c r="F62" s="223" t="s">
        <v>746</v>
      </c>
      <c r="G62" s="314"/>
    </row>
    <row r="63" spans="1:7" s="59" customFormat="1" ht="26.25">
      <c r="A63" s="135"/>
      <c r="B63" s="141" t="s">
        <v>197</v>
      </c>
      <c r="C63" s="137" t="s">
        <v>679</v>
      </c>
      <c r="D63" s="115">
        <f>SUMIF('ПО КОРИСНИЦИМА'!$G$4:$G$642,"Свега за програмску активност 1201-0002:",'ПО КОРИСНИЦИМА'!$H$4:$H$642)</f>
        <v>4480000</v>
      </c>
      <c r="E63" s="115">
        <f>SUMIF('ПО КОРИСНИЦИМА'!$G$4:$G$642,"Свега за програмску активност 1201-0002:",'ПО КОРИСНИЦИМА'!$I$4:$I$642)</f>
        <v>0</v>
      </c>
      <c r="F63" s="225" t="s">
        <v>105</v>
      </c>
      <c r="G63" s="314"/>
    </row>
    <row r="64" spans="1:7" s="59" customFormat="1" ht="39">
      <c r="A64" s="139"/>
      <c r="B64" s="212" t="s">
        <v>369</v>
      </c>
      <c r="C64" s="213" t="s">
        <v>607</v>
      </c>
      <c r="D64" s="115">
        <f>SUMIF('ПО КОРИСНИЦИМА'!$G$4:$G$1306,"Свега за програмску активност 1201-0003:",'ПО КОРИСНИЦИМА'!$H$4:$H$1306)</f>
        <v>500000</v>
      </c>
      <c r="E64" s="115">
        <f>SUMIF('ПО КОРИСНИЦИМА'!$G$4:$G$1306,"Свега за програмску активност 1201-0003:",'ПО КОРИСНИЦИМА'!$I$4:$I$1306)</f>
        <v>0</v>
      </c>
      <c r="F64" s="130" t="s">
        <v>732</v>
      </c>
      <c r="G64" s="314"/>
    </row>
    <row r="65" spans="1:7" s="59" customFormat="1" ht="30" customHeight="1">
      <c r="A65" s="139"/>
      <c r="B65" s="212" t="s">
        <v>414</v>
      </c>
      <c r="C65" s="214" t="s">
        <v>603</v>
      </c>
      <c r="D65" s="115">
        <f>SUMIF('ПО КОРИСНИЦИМА'!$G$4:$G$642,"Свега за програмску активност 1201-0004:",'ПО КОРИСНИЦИМА'!$H$4:$H$642)</f>
        <v>6000000</v>
      </c>
      <c r="E65" s="115">
        <f>SUMIF('ПО КОРИСНИЦИМА'!$G$4:$G$642,"Свега за програмску активност 1201-0004:",'ПО КОРИСНИЦИМА'!$I$4:$I$642)</f>
        <v>0</v>
      </c>
      <c r="F65" s="130" t="s">
        <v>732</v>
      </c>
      <c r="G65" s="314"/>
    </row>
    <row r="66" spans="1:7" s="99" customFormat="1" ht="14.25">
      <c r="A66" s="132" t="s">
        <v>469</v>
      </c>
      <c r="B66" s="133"/>
      <c r="C66" s="109" t="s">
        <v>283</v>
      </c>
      <c r="D66" s="110">
        <f>SUM(D67:D70)</f>
        <v>70085000</v>
      </c>
      <c r="E66" s="241">
        <f>SUM(E67:E70)</f>
        <v>0</v>
      </c>
      <c r="F66" s="134"/>
      <c r="G66" s="313"/>
    </row>
    <row r="67" spans="1:7" s="59" customFormat="1" ht="25.5">
      <c r="A67" s="135"/>
      <c r="B67" s="140" t="s">
        <v>199</v>
      </c>
      <c r="C67" s="142" t="s">
        <v>200</v>
      </c>
      <c r="D67" s="115">
        <f>SUMIF('ПО КОРИСНИЦИМА'!$G$4:$G$1366,"Свега за програмску активност 1301-0001:",'ПО КОРИСНИЦИМА'!$H$4:$H$1366)</f>
        <v>18000000</v>
      </c>
      <c r="E67" s="115">
        <f>SUMIF('ПО КОРИСНИЦИМА'!$G$4:$G$1366,"Свега за програмску активност 1301-0001:",'ПО КОРИСНИЦИМА'!$I$4:$I$1366)</f>
        <v>0</v>
      </c>
      <c r="F67" s="239" t="s">
        <v>767</v>
      </c>
      <c r="G67" s="314"/>
    </row>
    <row r="68" spans="1:7" s="59" customFormat="1" ht="25.5">
      <c r="A68" s="135"/>
      <c r="B68" s="140" t="s">
        <v>201</v>
      </c>
      <c r="C68" s="142" t="s">
        <v>693</v>
      </c>
      <c r="D68" s="115">
        <f>SUMIF('ПО КОРИСНИЦИМА'!$G$4:$G$1366,"Свега за програмску активност 1301-0002:",'ПО КОРИСНИЦИМА'!$H$4:$H$1366)</f>
        <v>250000</v>
      </c>
      <c r="E68" s="115">
        <f>SUMIF('ПО КОРИСНИЦИМА'!$G$4:$G$1366,"Свега за програмску активност 1301-0002:",'ПО КОРИСНИЦИМА'!$I$4:$I$1366)</f>
        <v>0</v>
      </c>
      <c r="F68" s="116" t="s">
        <v>106</v>
      </c>
      <c r="G68" s="314"/>
    </row>
    <row r="69" spans="1:7" s="59" customFormat="1" ht="26.25">
      <c r="A69" s="135"/>
      <c r="B69" s="140" t="s">
        <v>202</v>
      </c>
      <c r="C69" s="137" t="s">
        <v>203</v>
      </c>
      <c r="D69" s="115">
        <f>SUMIF('ПО КОРИСНИЦИМА'!$G$4:$G$1366,"Свега за програмску активност 1301-0003:",'ПО КОРИСНИЦИМА'!$H$4:$H$1366)</f>
        <v>0</v>
      </c>
      <c r="E69" s="115">
        <f>SUMIF('ПО КОРИСНИЦИМА'!$G$4:$G$1366,"Свега за програмску активност 1301-0003:",'ПО КОРИСНИЦИМА'!$I$4:$I$1366)</f>
        <v>0</v>
      </c>
      <c r="F69" s="223" t="s">
        <v>748</v>
      </c>
      <c r="G69" s="314"/>
    </row>
    <row r="70" spans="1:7" s="59" customFormat="1" ht="15">
      <c r="A70" s="139"/>
      <c r="B70" s="140" t="s">
        <v>694</v>
      </c>
      <c r="C70" s="114" t="s">
        <v>695</v>
      </c>
      <c r="D70" s="115">
        <f>SUMIF('ПО КОРИСНИЦИМА'!$G$4:$G$1366,"Свега за програмску активност 1301-0004:",'ПО КОРИСНИЦИМА'!$H$4:$H$1366)</f>
        <v>51835000</v>
      </c>
      <c r="E70" s="115">
        <f>SUMIF('ПО КОРИСНИЦИМА'!$G$4:$G$1366,"Свега за програмску активност 1301-0004:",'ПО КОРИСНИЦИМА'!$I$4:$I$1366)</f>
        <v>0</v>
      </c>
      <c r="F70" s="147" t="s">
        <v>766</v>
      </c>
      <c r="G70" s="314"/>
    </row>
    <row r="71" spans="1:7" s="48" customFormat="1" ht="14.25">
      <c r="A71" s="107" t="s">
        <v>470</v>
      </c>
      <c r="B71" s="108"/>
      <c r="C71" s="109" t="s">
        <v>284</v>
      </c>
      <c r="D71" s="110">
        <f>SUM(D72:D77)</f>
        <v>157640000</v>
      </c>
      <c r="E71" s="241">
        <f>SUM(E72:E77)</f>
        <v>0</v>
      </c>
      <c r="F71" s="121"/>
      <c r="G71" s="312"/>
    </row>
    <row r="72" spans="1:6" ht="26.25">
      <c r="A72" s="131"/>
      <c r="B72" s="143" t="s">
        <v>204</v>
      </c>
      <c r="C72" s="118" t="s">
        <v>205</v>
      </c>
      <c r="D72" s="115">
        <f>SUMIF('ПО КОРИСНИЦИМА'!$G$4:$G$642,"Свега за програмску активност 0602-0001:",'ПО КОРИСНИЦИМА'!$H$4:$H$642)</f>
        <v>115590000</v>
      </c>
      <c r="E72" s="115">
        <f>SUMIF('ПО КОРИСНИЦИМА'!$G$4:$G$642,"Свега за програмску активност 0602-0001:",'ПО КОРИСНИЦИМА'!$I$4:$I$642)</f>
        <v>0</v>
      </c>
      <c r="F72" s="223" t="s">
        <v>748</v>
      </c>
    </row>
    <row r="73" spans="1:6" ht="15">
      <c r="A73" s="131"/>
      <c r="B73" s="143" t="s">
        <v>206</v>
      </c>
      <c r="C73" s="118" t="s">
        <v>420</v>
      </c>
      <c r="D73" s="115">
        <f>SUMIF('ПО КОРИСНИЦИМА'!$G$4:$G$642,"Свега за програмску активност 0602-0002:",'ПО КОРИСНИЦИМА'!$H$4:$H$642)</f>
        <v>4550000</v>
      </c>
      <c r="E73" s="115">
        <f>SUMIF('ПО КОРИСНИЦИМА'!$G$4:$G$642,"Свега за програмску активност 0602-0002:",'ПО КОРИСНИЦИМА'!$I$4:$I$642)</f>
        <v>0</v>
      </c>
      <c r="F73" s="116" t="s">
        <v>420</v>
      </c>
    </row>
    <row r="74" spans="1:6" ht="26.25">
      <c r="A74" s="131"/>
      <c r="B74" s="143" t="s">
        <v>207</v>
      </c>
      <c r="C74" s="118" t="s">
        <v>208</v>
      </c>
      <c r="D74" s="115">
        <f>SUMIF('ПО КОРИСНИЦИМА'!$G$4:$G$642,"Свега за програмску активност 0602-0003:",'ПО КОРИСНИЦИМА'!$H$4:$H$642)</f>
        <v>30200000</v>
      </c>
      <c r="E74" s="115">
        <f>SUMIF('ПО КОРИСНИЦИМА'!$G$4:$G$642,"Свега за програмску активност 0602-0003:",'ПО КОРИСНИЦИМА'!$I$4:$I$642)</f>
        <v>0</v>
      </c>
      <c r="F74" s="223" t="s">
        <v>747</v>
      </c>
    </row>
    <row r="75" spans="1:6" ht="26.25">
      <c r="A75" s="131"/>
      <c r="B75" s="143" t="s">
        <v>209</v>
      </c>
      <c r="C75" s="211" t="s">
        <v>602</v>
      </c>
      <c r="D75" s="115">
        <f>SUMIF('ПО КОРИСНИЦИМА'!$G$4:$G$1336,"Свега за програмску активност 0602-0009:",'ПО КОРИСНИЦИМА'!$H$4:$H$1336)</f>
        <v>4000000</v>
      </c>
      <c r="E75" s="115">
        <f>SUMIF('ПО КОРИСНИЦИМА'!$G$4:$G$1336,"Свега за програмску активност 0602-0009:",'ПО КОРИСНИЦИМА'!$I$4:$I$1336)</f>
        <v>0</v>
      </c>
      <c r="F75" s="223" t="s">
        <v>736</v>
      </c>
    </row>
    <row r="76" spans="1:6" ht="26.25">
      <c r="A76" s="131"/>
      <c r="B76" s="143" t="s">
        <v>210</v>
      </c>
      <c r="C76" s="211" t="s">
        <v>133</v>
      </c>
      <c r="D76" s="115">
        <f>SUMIF('ПО КОРИСНИЦИМА'!$G$4:$G$1336,"Свега за програмску активност 0602-0010:",'ПО КОРИСНИЦИМА'!$H$4:$H$1336)</f>
        <v>300000</v>
      </c>
      <c r="E76" s="115">
        <f>SUMIF('ПО КОРИСНИЦИМА'!$G$4:$G$1336,"Свега за програмску активност 0602-0010:",'ПО КОРИСНИЦИМА'!$I$4:$I$1336)</f>
        <v>0</v>
      </c>
      <c r="F76" s="223" t="s">
        <v>736</v>
      </c>
    </row>
    <row r="77" spans="1:6" ht="26.25">
      <c r="A77" s="235"/>
      <c r="B77" s="237" t="s">
        <v>762</v>
      </c>
      <c r="C77" s="236" t="s">
        <v>763</v>
      </c>
      <c r="D77" s="115">
        <f>SUMIF('ПО КОРИСНИЦИМА'!$G$4:$G$1336,"Свега за програмску активност 0602-0014:",'ПО КОРИСНИЦИМА'!$H$4:$H$1336)</f>
        <v>3000000</v>
      </c>
      <c r="E77" s="115">
        <f>SUMIF('ПО КОРИСНИЦИМА'!$G$4:$G$1336,"Свега за програмску активност 0602-0014:",'ПО КОРИСНИЦИМА'!$I$4:$I$1336)</f>
        <v>0</v>
      </c>
      <c r="F77" s="223" t="s">
        <v>736</v>
      </c>
    </row>
    <row r="78" spans="1:6" ht="15">
      <c r="A78" s="203" t="s">
        <v>581</v>
      </c>
      <c r="B78" s="204"/>
      <c r="C78" s="205" t="s">
        <v>585</v>
      </c>
      <c r="D78" s="206">
        <f>SUM(D79:D80)</f>
        <v>37056000</v>
      </c>
      <c r="E78" s="244">
        <f>SUM(E79:E80)</f>
        <v>0</v>
      </c>
      <c r="F78" s="228"/>
    </row>
    <row r="79" spans="1:6" ht="15">
      <c r="A79" s="207"/>
      <c r="B79" s="207" t="s">
        <v>582</v>
      </c>
      <c r="C79" s="208" t="s">
        <v>586</v>
      </c>
      <c r="D79" s="115">
        <f>SUMIF('ПО КОРИСНИЦИМА'!$G$4:$G$1336,"Свега за програмску активност 2101-0001:",'ПО КОРИСНИЦИМА'!$H$4:$H$1336)</f>
        <v>18367000</v>
      </c>
      <c r="E79" s="115">
        <f>SUMIF('ПО КОРИСНИЦИМА'!$G$4:$G$1336,"Свега за програмску активност 2101-0001:",'ПО КОРИСНИЦИМА'!$I$4:$I$1336)</f>
        <v>0</v>
      </c>
      <c r="F79" s="224" t="s">
        <v>246</v>
      </c>
    </row>
    <row r="80" spans="1:6" ht="26.25">
      <c r="A80" s="209"/>
      <c r="B80" s="209" t="s">
        <v>587</v>
      </c>
      <c r="C80" s="210" t="s">
        <v>588</v>
      </c>
      <c r="D80" s="115">
        <f>SUMIF('ПО КОРИСНИЦИМА'!$G$4:$G$1336,"Свега за програмску активност 2101-0002:",'ПО КОРИСНИЦИМА'!$H$4:$H$1336)</f>
        <v>18689000</v>
      </c>
      <c r="E80" s="115">
        <f>SUMIF('ПО КОРИСНИЦИМА'!$G$4:$G$1336,"Свега за програмску активност 2101-0002:",'ПО КОРИСНИЦИМА'!$I$4:$I$1336)</f>
        <v>0</v>
      </c>
      <c r="F80" s="225" t="s">
        <v>743</v>
      </c>
    </row>
    <row r="81" spans="1:6" ht="15">
      <c r="A81" s="203" t="s">
        <v>722</v>
      </c>
      <c r="B81" s="204"/>
      <c r="C81" s="205" t="s">
        <v>729</v>
      </c>
      <c r="D81" s="206">
        <f>SUM(D82:D82)</f>
        <v>9000000</v>
      </c>
      <c r="E81" s="244">
        <f>SUM(E82:E82)</f>
        <v>0</v>
      </c>
      <c r="F81" s="228"/>
    </row>
    <row r="82" spans="1:6" ht="15">
      <c r="A82" s="131"/>
      <c r="B82" s="153" t="s">
        <v>723</v>
      </c>
      <c r="C82" s="221" t="s">
        <v>730</v>
      </c>
      <c r="D82" s="115">
        <f>SUMIF('ПО КОРИСНИЦИМА'!$G$4:$G$1336,"Свега за програмску активност 0501-0001:",'ПО КОРИСНИЦИМА'!$H$4:$H$1336)</f>
        <v>9000000</v>
      </c>
      <c r="E82" s="115">
        <f>SUMIF('ПО КОРИСНИЦИМА'!$G$4:$G$1336,"Свега за програмску активност 0501-0001:",'ПО КОРИСНИЦИМА'!$I$4:$I$1336)</f>
        <v>0</v>
      </c>
      <c r="F82" s="224" t="s">
        <v>742</v>
      </c>
    </row>
    <row r="83" spans="1:6" ht="27.75" customHeight="1" thickBot="1">
      <c r="A83" s="320"/>
      <c r="B83" s="321"/>
      <c r="C83" s="144" t="s">
        <v>214</v>
      </c>
      <c r="D83" s="145">
        <f>SUM(D81,D78,D71,D66,D61,D57,D47,D45,D43,D40,D34,D27,D24,D21,D16,D10,D5)</f>
        <v>602919500</v>
      </c>
      <c r="E83" s="145">
        <f>SUM(E81,E78,E71,E66,E61,E57,E47,E45,E43,E40,E34,E27,E24,E21,E16,E10,E5)</f>
        <v>7687025.29</v>
      </c>
      <c r="F83" s="146"/>
    </row>
    <row r="84" spans="1:6" ht="27.75" customHeight="1">
      <c r="A84" s="148"/>
      <c r="B84" s="148"/>
      <c r="C84" s="149"/>
      <c r="D84" s="150"/>
      <c r="E84" s="245"/>
      <c r="F84" s="151"/>
    </row>
    <row r="85" spans="1:6" ht="27.75" customHeight="1">
      <c r="A85" s="148"/>
      <c r="B85" s="148"/>
      <c r="C85" s="149"/>
      <c r="D85" s="150"/>
      <c r="E85" s="245"/>
      <c r="F85" s="151"/>
    </row>
    <row r="86" spans="1:6" ht="27.75" customHeight="1">
      <c r="A86" s="148"/>
      <c r="B86" s="148"/>
      <c r="C86" s="149"/>
      <c r="D86" s="150"/>
      <c r="E86" s="245"/>
      <c r="F86" s="151"/>
    </row>
    <row r="87" spans="1:6" ht="27.75" customHeight="1">
      <c r="A87" s="148"/>
      <c r="B87" s="148"/>
      <c r="C87" s="149"/>
      <c r="D87" s="150"/>
      <c r="E87" s="245"/>
      <c r="F87" s="151"/>
    </row>
    <row r="88" spans="4:6" ht="15">
      <c r="D88" s="57"/>
      <c r="E88" s="246"/>
      <c r="F88" s="100"/>
    </row>
    <row r="89" spans="4:6" ht="15">
      <c r="D89" s="57"/>
      <c r="E89" s="246"/>
      <c r="F89" s="100"/>
    </row>
    <row r="90" spans="4:6" ht="15">
      <c r="D90" s="57"/>
      <c r="E90" s="246"/>
      <c r="F90" s="100"/>
    </row>
    <row r="91" spans="4:6" ht="15">
      <c r="D91" s="57"/>
      <c r="E91" s="246"/>
      <c r="F91" s="100"/>
    </row>
    <row r="92" spans="4:6" ht="15">
      <c r="D92" s="57"/>
      <c r="E92" s="246"/>
      <c r="F92" s="100"/>
    </row>
    <row r="93" spans="4:6" ht="15">
      <c r="D93" s="57"/>
      <c r="E93" s="246"/>
      <c r="F93" s="100"/>
    </row>
    <row r="94" spans="4:6" ht="15">
      <c r="D94" s="57"/>
      <c r="E94" s="246"/>
      <c r="F94" s="101"/>
    </row>
    <row r="95" spans="4:6" ht="15">
      <c r="D95" s="57"/>
      <c r="E95" s="246"/>
      <c r="F95" s="101"/>
    </row>
    <row r="96" spans="4:6" ht="15">
      <c r="D96" s="57"/>
      <c r="E96" s="246"/>
      <c r="F96" s="101"/>
    </row>
  </sheetData>
  <sheetProtection/>
  <mergeCells count="4">
    <mergeCell ref="F2:F3"/>
    <mergeCell ref="A1:E1"/>
    <mergeCell ref="C2:C3"/>
    <mergeCell ref="D2:E2"/>
  </mergeCells>
  <conditionalFormatting sqref="D88:E96">
    <cfRule type="cellIs" priority="2" dxfId="0" operator="notEqual">
      <formula>0</formula>
    </cfRule>
  </conditionalFormatting>
  <dataValidations count="1">
    <dataValidation errorStyle="warning" type="whole" operator="equal" allowBlank="1" showInputMessage="1" showErrorMessage="1" errorTitle="Упозорење" error="Дошло је до грешке приликом повлачења података у шиту &quot;Програмска&quot;, пажљиво проверите збир" sqref="D88:E96">
      <formula1>#REF!</formula1>
    </dataValidation>
  </dataValidations>
  <printOptions gridLines="1"/>
  <pageMargins left="0.37" right="0.16" top="0.75" bottom="0.75" header="0.3" footer="0.3"/>
  <pageSetup horizontalDpi="600" verticalDpi="600" orientation="portrait" r:id="rId1"/>
  <headerFoot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1:AQ812"/>
  <sheetViews>
    <sheetView tabSelected="1" zoomScale="64" zoomScaleNormal="64" zoomScalePageLayoutView="0" workbookViewId="0" topLeftCell="A1">
      <selection activeCell="M7" sqref="M6:Z7"/>
    </sheetView>
  </sheetViews>
  <sheetFormatPr defaultColWidth="9.140625" defaultRowHeight="15"/>
  <cols>
    <col min="1" max="1" width="4.140625" style="783" customWidth="1"/>
    <col min="2" max="2" width="5.7109375" style="784" customWidth="1"/>
    <col min="3" max="3" width="7.7109375" style="785" customWidth="1"/>
    <col min="4" max="4" width="5.8515625" style="783" customWidth="1"/>
    <col min="5" max="5" width="8.28125" style="783" customWidth="1"/>
    <col min="6" max="6" width="8.8515625" style="786" customWidth="1"/>
    <col min="7" max="7" width="30.8515625" style="790" customWidth="1"/>
    <col min="8" max="8" width="20.28125" style="788" customWidth="1"/>
    <col min="9" max="9" width="17.00390625" style="788" customWidth="1"/>
    <col min="10" max="10" width="13.140625" style="788" customWidth="1"/>
    <col min="11" max="11" width="18.421875" style="789" customWidth="1"/>
    <col min="12" max="29" width="9.140625" style="311" customWidth="1"/>
    <col min="30" max="16384" width="9.140625" style="47" customWidth="1"/>
  </cols>
  <sheetData>
    <row r="1" spans="1:11" s="311" customFormat="1" ht="60" customHeight="1" thickBot="1">
      <c r="A1" s="494" t="s">
        <v>245</v>
      </c>
      <c r="B1" s="495"/>
      <c r="C1" s="496"/>
      <c r="D1" s="869" t="s">
        <v>91</v>
      </c>
      <c r="E1" s="869"/>
      <c r="F1" s="869"/>
      <c r="G1" s="870" t="s">
        <v>897</v>
      </c>
      <c r="H1" s="870"/>
      <c r="I1" s="870"/>
      <c r="J1" s="870"/>
      <c r="K1" s="871"/>
    </row>
    <row r="2" spans="1:11" s="311" customFormat="1" ht="114" customHeight="1">
      <c r="A2" s="497" t="s">
        <v>215</v>
      </c>
      <c r="B2" s="498" t="s">
        <v>216</v>
      </c>
      <c r="C2" s="499" t="s">
        <v>792</v>
      </c>
      <c r="D2" s="500" t="s">
        <v>804</v>
      </c>
      <c r="E2" s="500" t="s">
        <v>217</v>
      </c>
      <c r="F2" s="501" t="s">
        <v>218</v>
      </c>
      <c r="G2" s="502" t="s">
        <v>473</v>
      </c>
      <c r="H2" s="503" t="s">
        <v>894</v>
      </c>
      <c r="I2" s="503" t="s">
        <v>895</v>
      </c>
      <c r="J2" s="503" t="s">
        <v>896</v>
      </c>
      <c r="K2" s="504" t="s">
        <v>787</v>
      </c>
    </row>
    <row r="3" spans="1:11" s="311" customFormat="1" ht="18.75" customHeight="1" thickBot="1">
      <c r="A3" s="505">
        <v>1</v>
      </c>
      <c r="B3" s="506">
        <v>2</v>
      </c>
      <c r="C3" s="507" t="s">
        <v>220</v>
      </c>
      <c r="D3" s="508">
        <v>4</v>
      </c>
      <c r="E3" s="508">
        <v>5</v>
      </c>
      <c r="F3" s="509">
        <v>6</v>
      </c>
      <c r="G3" s="510">
        <v>7</v>
      </c>
      <c r="H3" s="511">
        <v>8</v>
      </c>
      <c r="I3" s="512">
        <v>9</v>
      </c>
      <c r="J3" s="512">
        <v>10</v>
      </c>
      <c r="K3" s="513">
        <v>11</v>
      </c>
    </row>
    <row r="4" spans="1:11" s="311" customFormat="1" ht="39" customHeight="1">
      <c r="A4" s="514">
        <v>1</v>
      </c>
      <c r="B4" s="515">
        <v>1.01</v>
      </c>
      <c r="C4" s="516"/>
      <c r="D4" s="517"/>
      <c r="E4" s="517"/>
      <c r="F4" s="518"/>
      <c r="G4" s="519" t="s">
        <v>246</v>
      </c>
      <c r="H4" s="520"/>
      <c r="I4" s="521"/>
      <c r="J4" s="521"/>
      <c r="K4" s="522"/>
    </row>
    <row r="5" spans="1:11" s="311" customFormat="1" ht="39" customHeight="1">
      <c r="A5" s="523"/>
      <c r="B5" s="524"/>
      <c r="C5" s="525" t="s">
        <v>581</v>
      </c>
      <c r="D5" s="809"/>
      <c r="E5" s="524"/>
      <c r="F5" s="526"/>
      <c r="G5" s="803" t="s">
        <v>580</v>
      </c>
      <c r="H5" s="527"/>
      <c r="I5" s="527"/>
      <c r="J5" s="527"/>
      <c r="K5" s="528"/>
    </row>
    <row r="6" spans="1:11" s="311" customFormat="1" ht="39" customHeight="1">
      <c r="A6" s="523"/>
      <c r="B6" s="524"/>
      <c r="C6" s="864" t="s">
        <v>582</v>
      </c>
      <c r="D6" s="864"/>
      <c r="E6" s="524"/>
      <c r="F6" s="526"/>
      <c r="G6" s="803" t="s">
        <v>583</v>
      </c>
      <c r="H6" s="527"/>
      <c r="I6" s="527"/>
      <c r="J6" s="527"/>
      <c r="K6" s="528"/>
    </row>
    <row r="7" spans="1:43" s="311" customFormat="1" ht="49.5" customHeight="1">
      <c r="A7" s="523"/>
      <c r="B7" s="524"/>
      <c r="C7" s="525"/>
      <c r="D7" s="529">
        <v>110</v>
      </c>
      <c r="E7" s="529"/>
      <c r="F7" s="530"/>
      <c r="G7" s="531" t="s">
        <v>5</v>
      </c>
      <c r="H7" s="527"/>
      <c r="I7" s="527"/>
      <c r="J7" s="527"/>
      <c r="K7" s="528"/>
      <c r="M7" s="878" t="s">
        <v>901</v>
      </c>
      <c r="N7" s="878"/>
      <c r="O7" s="878"/>
      <c r="P7" s="878"/>
      <c r="Q7" s="878"/>
      <c r="R7" s="878"/>
      <c r="S7" s="878"/>
      <c r="T7" s="878"/>
      <c r="U7" s="878"/>
      <c r="V7" s="878"/>
      <c r="W7" s="878"/>
      <c r="X7" s="878"/>
      <c r="Y7" s="878"/>
      <c r="Z7" s="878"/>
      <c r="AA7" s="879"/>
      <c r="AB7" s="879"/>
      <c r="AC7" s="879"/>
      <c r="AD7" s="879"/>
      <c r="AE7" s="879"/>
      <c r="AF7" s="879"/>
      <c r="AG7" s="879"/>
      <c r="AH7" s="879"/>
      <c r="AI7" s="879"/>
      <c r="AJ7" s="879"/>
      <c r="AK7" s="879"/>
      <c r="AL7" s="879"/>
      <c r="AM7" s="879"/>
      <c r="AN7" s="879"/>
      <c r="AO7" s="879"/>
      <c r="AP7" s="879"/>
      <c r="AQ7" s="879"/>
    </row>
    <row r="8" spans="1:43" s="311" customFormat="1" ht="30">
      <c r="A8" s="523"/>
      <c r="B8" s="524"/>
      <c r="C8" s="532"/>
      <c r="D8" s="524"/>
      <c r="E8" s="524">
        <v>1</v>
      </c>
      <c r="F8" s="476">
        <v>411</v>
      </c>
      <c r="G8" s="533" t="s">
        <v>222</v>
      </c>
      <c r="H8" s="534">
        <v>5605000</v>
      </c>
      <c r="I8" s="534"/>
      <c r="J8" s="419"/>
      <c r="K8" s="419">
        <f>SUM(H8:J8)</f>
        <v>5605000</v>
      </c>
      <c r="M8" s="879"/>
      <c r="N8" s="879"/>
      <c r="O8" s="879"/>
      <c r="P8" s="879"/>
      <c r="Q8" s="879"/>
      <c r="R8" s="879"/>
      <c r="S8" s="879"/>
      <c r="T8" s="879"/>
      <c r="U8" s="879"/>
      <c r="V8" s="879"/>
      <c r="W8" s="879"/>
      <c r="X8" s="879"/>
      <c r="Y8" s="879"/>
      <c r="Z8" s="879"/>
      <c r="AA8" s="879"/>
      <c r="AB8" s="879"/>
      <c r="AC8" s="879"/>
      <c r="AD8" s="879"/>
      <c r="AE8" s="879"/>
      <c r="AF8" s="879"/>
      <c r="AG8" s="879"/>
      <c r="AH8" s="879"/>
      <c r="AI8" s="879"/>
      <c r="AJ8" s="879"/>
      <c r="AK8" s="879"/>
      <c r="AL8" s="879"/>
      <c r="AM8" s="879"/>
      <c r="AN8" s="879"/>
      <c r="AO8" s="879"/>
      <c r="AP8" s="879"/>
      <c r="AQ8" s="879"/>
    </row>
    <row r="9" spans="1:11" s="311" customFormat="1" ht="30">
      <c r="A9" s="523"/>
      <c r="B9" s="524"/>
      <c r="C9" s="532"/>
      <c r="D9" s="524"/>
      <c r="E9" s="524">
        <v>2</v>
      </c>
      <c r="F9" s="476">
        <v>412</v>
      </c>
      <c r="G9" s="533" t="s">
        <v>287</v>
      </c>
      <c r="H9" s="534">
        <v>905000</v>
      </c>
      <c r="I9" s="534"/>
      <c r="J9" s="419"/>
      <c r="K9" s="419">
        <f aca="true" t="shared" si="0" ref="K9:K72">SUM(H9:J9)</f>
        <v>905000</v>
      </c>
    </row>
    <row r="10" spans="1:11" s="311" customFormat="1" ht="15">
      <c r="A10" s="523"/>
      <c r="B10" s="524"/>
      <c r="C10" s="532"/>
      <c r="D10" s="524"/>
      <c r="E10" s="524">
        <v>3</v>
      </c>
      <c r="F10" s="476">
        <v>421</v>
      </c>
      <c r="G10" s="533" t="s">
        <v>299</v>
      </c>
      <c r="H10" s="534">
        <v>300000</v>
      </c>
      <c r="I10" s="534"/>
      <c r="J10" s="419"/>
      <c r="K10" s="419">
        <f t="shared" si="0"/>
        <v>300000</v>
      </c>
    </row>
    <row r="11" spans="1:11" s="311" customFormat="1" ht="15">
      <c r="A11" s="523"/>
      <c r="B11" s="524"/>
      <c r="C11" s="532"/>
      <c r="D11" s="524"/>
      <c r="E11" s="524">
        <v>4</v>
      </c>
      <c r="F11" s="476">
        <v>422</v>
      </c>
      <c r="G11" s="533" t="s">
        <v>300</v>
      </c>
      <c r="H11" s="534">
        <v>100000</v>
      </c>
      <c r="I11" s="534"/>
      <c r="J11" s="419"/>
      <c r="K11" s="419">
        <f t="shared" si="0"/>
        <v>100000</v>
      </c>
    </row>
    <row r="12" spans="1:11" s="311" customFormat="1" ht="15">
      <c r="A12" s="523"/>
      <c r="B12" s="524"/>
      <c r="C12" s="532"/>
      <c r="D12" s="524"/>
      <c r="E12" s="524">
        <v>5</v>
      </c>
      <c r="F12" s="476">
        <v>423</v>
      </c>
      <c r="G12" s="533" t="s">
        <v>301</v>
      </c>
      <c r="H12" s="534">
        <v>10000000</v>
      </c>
      <c r="I12" s="534"/>
      <c r="J12" s="419"/>
      <c r="K12" s="419">
        <f t="shared" si="0"/>
        <v>10000000</v>
      </c>
    </row>
    <row r="13" spans="1:11" s="311" customFormat="1" ht="30">
      <c r="A13" s="523"/>
      <c r="B13" s="524"/>
      <c r="C13" s="532"/>
      <c r="D13" s="524"/>
      <c r="E13" s="524">
        <v>5.1</v>
      </c>
      <c r="F13" s="476">
        <v>425</v>
      </c>
      <c r="G13" s="533" t="s">
        <v>231</v>
      </c>
      <c r="H13" s="534">
        <v>1000000</v>
      </c>
      <c r="I13" s="534"/>
      <c r="J13" s="419"/>
      <c r="K13" s="419">
        <f t="shared" si="0"/>
        <v>1000000</v>
      </c>
    </row>
    <row r="14" spans="1:11" s="311" customFormat="1" ht="23.25" customHeight="1">
      <c r="A14" s="523"/>
      <c r="B14" s="524"/>
      <c r="C14" s="532"/>
      <c r="D14" s="524"/>
      <c r="E14" s="524">
        <v>6</v>
      </c>
      <c r="F14" s="476">
        <v>426</v>
      </c>
      <c r="G14" s="533" t="s">
        <v>307</v>
      </c>
      <c r="H14" s="534">
        <v>200000</v>
      </c>
      <c r="I14" s="534"/>
      <c r="J14" s="419"/>
      <c r="K14" s="419">
        <f t="shared" si="0"/>
        <v>200000</v>
      </c>
    </row>
    <row r="15" spans="1:11" s="311" customFormat="1" ht="45">
      <c r="A15" s="523"/>
      <c r="B15" s="524"/>
      <c r="C15" s="532"/>
      <c r="D15" s="524"/>
      <c r="E15" s="524">
        <v>7</v>
      </c>
      <c r="F15" s="476">
        <v>481</v>
      </c>
      <c r="G15" s="533" t="s">
        <v>249</v>
      </c>
      <c r="H15" s="534">
        <v>257000</v>
      </c>
      <c r="I15" s="534"/>
      <c r="J15" s="419"/>
      <c r="K15" s="419">
        <f t="shared" si="0"/>
        <v>257000</v>
      </c>
    </row>
    <row r="16" spans="1:11" s="311" customFormat="1" ht="28.5">
      <c r="A16" s="523"/>
      <c r="B16" s="524"/>
      <c r="C16" s="532"/>
      <c r="D16" s="524"/>
      <c r="E16" s="535"/>
      <c r="F16" s="476"/>
      <c r="G16" s="536" t="s">
        <v>348</v>
      </c>
      <c r="H16" s="537"/>
      <c r="I16" s="537"/>
      <c r="J16" s="537"/>
      <c r="K16" s="419">
        <f t="shared" si="0"/>
        <v>0</v>
      </c>
    </row>
    <row r="17" spans="1:11" s="311" customFormat="1" ht="15">
      <c r="A17" s="523"/>
      <c r="B17" s="524"/>
      <c r="C17" s="532"/>
      <c r="D17" s="524"/>
      <c r="E17" s="524"/>
      <c r="F17" s="538" t="s">
        <v>87</v>
      </c>
      <c r="G17" s="539" t="s">
        <v>88</v>
      </c>
      <c r="H17" s="527"/>
      <c r="I17" s="527"/>
      <c r="J17" s="527"/>
      <c r="K17" s="419">
        <f t="shared" si="0"/>
        <v>0</v>
      </c>
    </row>
    <row r="18" spans="1:11" s="311" customFormat="1" ht="15">
      <c r="A18" s="523"/>
      <c r="B18" s="524"/>
      <c r="C18" s="532"/>
      <c r="D18" s="524"/>
      <c r="E18" s="524"/>
      <c r="F18" s="526"/>
      <c r="G18" s="540" t="s">
        <v>333</v>
      </c>
      <c r="H18" s="541">
        <f>SUM(H8:H15)</f>
        <v>18367000</v>
      </c>
      <c r="I18" s="541">
        <f>SUM(I8:I15)</f>
        <v>0</v>
      </c>
      <c r="J18" s="541">
        <f>SUM(J8:J15)</f>
        <v>0</v>
      </c>
      <c r="K18" s="419">
        <f t="shared" si="0"/>
        <v>18367000</v>
      </c>
    </row>
    <row r="19" spans="1:11" s="311" customFormat="1" ht="42.75">
      <c r="A19" s="523"/>
      <c r="B19" s="524"/>
      <c r="C19" s="532"/>
      <c r="D19" s="524"/>
      <c r="E19" s="524"/>
      <c r="F19" s="542"/>
      <c r="G19" s="543" t="s">
        <v>589</v>
      </c>
      <c r="H19" s="541">
        <f>SUM(H8:H15)</f>
        <v>18367000</v>
      </c>
      <c r="I19" s="541">
        <f>SUM(I8:I15)</f>
        <v>0</v>
      </c>
      <c r="J19" s="541">
        <f>SUM(J8:J15)</f>
        <v>0</v>
      </c>
      <c r="K19" s="419">
        <f t="shared" si="0"/>
        <v>18367000</v>
      </c>
    </row>
    <row r="20" spans="1:11" s="311" customFormat="1" ht="15">
      <c r="A20" s="523"/>
      <c r="B20" s="524"/>
      <c r="C20" s="532"/>
      <c r="D20" s="524"/>
      <c r="E20" s="524"/>
      <c r="F20" s="544" t="s">
        <v>87</v>
      </c>
      <c r="G20" s="545" t="s">
        <v>88</v>
      </c>
      <c r="H20" s="541"/>
      <c r="I20" s="541"/>
      <c r="J20" s="541"/>
      <c r="K20" s="419">
        <f t="shared" si="0"/>
        <v>0</v>
      </c>
    </row>
    <row r="21" spans="1:11" s="311" customFormat="1" ht="28.5" collapsed="1">
      <c r="A21" s="523"/>
      <c r="B21" s="524"/>
      <c r="C21" s="532"/>
      <c r="D21" s="524"/>
      <c r="E21" s="524"/>
      <c r="F21" s="526"/>
      <c r="G21" s="540" t="s">
        <v>584</v>
      </c>
      <c r="H21" s="541">
        <f>H19</f>
        <v>18367000</v>
      </c>
      <c r="I21" s="541">
        <f>I19</f>
        <v>0</v>
      </c>
      <c r="J21" s="541">
        <f>J19</f>
        <v>0</v>
      </c>
      <c r="K21" s="419">
        <f t="shared" si="0"/>
        <v>18367000</v>
      </c>
    </row>
    <row r="22" spans="1:11" s="311" customFormat="1" ht="15">
      <c r="A22" s="523"/>
      <c r="B22" s="524"/>
      <c r="C22" s="532"/>
      <c r="D22" s="524"/>
      <c r="E22" s="524"/>
      <c r="F22" s="526"/>
      <c r="G22" s="540" t="s">
        <v>788</v>
      </c>
      <c r="H22" s="541">
        <f>H21</f>
        <v>18367000</v>
      </c>
      <c r="I22" s="541">
        <f>I21</f>
        <v>0</v>
      </c>
      <c r="J22" s="541">
        <f>J21</f>
        <v>0</v>
      </c>
      <c r="K22" s="419">
        <f t="shared" si="0"/>
        <v>18367000</v>
      </c>
    </row>
    <row r="23" spans="1:11" s="311" customFormat="1" ht="27" customHeight="1">
      <c r="A23" s="546">
        <v>2</v>
      </c>
      <c r="B23" s="547">
        <v>2.01</v>
      </c>
      <c r="C23" s="548"/>
      <c r="D23" s="524"/>
      <c r="E23" s="524"/>
      <c r="F23" s="526"/>
      <c r="G23" s="806" t="s">
        <v>95</v>
      </c>
      <c r="H23" s="527"/>
      <c r="I23" s="527"/>
      <c r="J23" s="527"/>
      <c r="K23" s="419">
        <f t="shared" si="0"/>
        <v>0</v>
      </c>
    </row>
    <row r="24" spans="1:11" s="311" customFormat="1" ht="42.75">
      <c r="A24" s="523"/>
      <c r="B24" s="524"/>
      <c r="C24" s="525" t="s">
        <v>581</v>
      </c>
      <c r="D24" s="524"/>
      <c r="E24" s="524"/>
      <c r="F24" s="526"/>
      <c r="G24" s="803" t="s">
        <v>580</v>
      </c>
      <c r="H24" s="527"/>
      <c r="I24" s="527"/>
      <c r="J24" s="527"/>
      <c r="K24" s="419">
        <f t="shared" si="0"/>
        <v>0</v>
      </c>
    </row>
    <row r="25" spans="1:11" s="311" customFormat="1" ht="42.75">
      <c r="A25" s="523"/>
      <c r="B25" s="524"/>
      <c r="C25" s="864" t="s">
        <v>587</v>
      </c>
      <c r="D25" s="864"/>
      <c r="E25" s="524"/>
      <c r="F25" s="526"/>
      <c r="G25" s="803" t="s">
        <v>592</v>
      </c>
      <c r="H25" s="527"/>
      <c r="I25" s="527"/>
      <c r="J25" s="527"/>
      <c r="K25" s="419">
        <f t="shared" si="0"/>
        <v>0</v>
      </c>
    </row>
    <row r="26" spans="1:11" s="311" customFormat="1" ht="30">
      <c r="A26" s="523"/>
      <c r="B26" s="524"/>
      <c r="C26" s="525"/>
      <c r="D26" s="529">
        <v>110</v>
      </c>
      <c r="E26" s="529"/>
      <c r="F26" s="530"/>
      <c r="G26" s="549" t="s">
        <v>6</v>
      </c>
      <c r="H26" s="527"/>
      <c r="I26" s="527"/>
      <c r="J26" s="527"/>
      <c r="K26" s="419">
        <f t="shared" si="0"/>
        <v>0</v>
      </c>
    </row>
    <row r="27" spans="1:11" s="311" customFormat="1" ht="30">
      <c r="A27" s="523"/>
      <c r="B27" s="524"/>
      <c r="C27" s="532"/>
      <c r="D27" s="524"/>
      <c r="E27" s="524">
        <v>8</v>
      </c>
      <c r="F27" s="476">
        <v>411</v>
      </c>
      <c r="G27" s="533" t="s">
        <v>222</v>
      </c>
      <c r="H27" s="534">
        <v>4189000</v>
      </c>
      <c r="I27" s="534"/>
      <c r="J27" s="419"/>
      <c r="K27" s="419">
        <f t="shared" si="0"/>
        <v>4189000</v>
      </c>
    </row>
    <row r="28" spans="1:11" s="311" customFormat="1" ht="30">
      <c r="A28" s="523"/>
      <c r="B28" s="524"/>
      <c r="C28" s="532"/>
      <c r="D28" s="524"/>
      <c r="E28" s="524">
        <v>9</v>
      </c>
      <c r="F28" s="476">
        <v>412</v>
      </c>
      <c r="G28" s="533" t="s">
        <v>287</v>
      </c>
      <c r="H28" s="534">
        <v>650000</v>
      </c>
      <c r="I28" s="534"/>
      <c r="J28" s="419"/>
      <c r="K28" s="419">
        <f t="shared" si="0"/>
        <v>650000</v>
      </c>
    </row>
    <row r="29" spans="1:11" s="311" customFormat="1" ht="15">
      <c r="A29" s="523"/>
      <c r="B29" s="524"/>
      <c r="C29" s="532"/>
      <c r="D29" s="524"/>
      <c r="E29" s="524">
        <v>10</v>
      </c>
      <c r="F29" s="476">
        <v>421</v>
      </c>
      <c r="G29" s="533" t="s">
        <v>299</v>
      </c>
      <c r="H29" s="534">
        <v>100000</v>
      </c>
      <c r="I29" s="534"/>
      <c r="J29" s="419"/>
      <c r="K29" s="419">
        <f t="shared" si="0"/>
        <v>100000</v>
      </c>
    </row>
    <row r="30" spans="1:11" s="311" customFormat="1" ht="15">
      <c r="A30" s="523"/>
      <c r="B30" s="524"/>
      <c r="C30" s="532"/>
      <c r="D30" s="524"/>
      <c r="E30" s="524">
        <v>11</v>
      </c>
      <c r="F30" s="476">
        <v>422</v>
      </c>
      <c r="G30" s="533" t="s">
        <v>300</v>
      </c>
      <c r="H30" s="534">
        <v>500000</v>
      </c>
      <c r="I30" s="534"/>
      <c r="J30" s="419"/>
      <c r="K30" s="419">
        <f t="shared" si="0"/>
        <v>500000</v>
      </c>
    </row>
    <row r="31" spans="1:11" s="311" customFormat="1" ht="15">
      <c r="A31" s="523"/>
      <c r="B31" s="524"/>
      <c r="C31" s="532"/>
      <c r="D31" s="524"/>
      <c r="E31" s="524">
        <v>12</v>
      </c>
      <c r="F31" s="476">
        <v>423</v>
      </c>
      <c r="G31" s="533" t="s">
        <v>301</v>
      </c>
      <c r="H31" s="534">
        <v>1300000</v>
      </c>
      <c r="I31" s="534"/>
      <c r="J31" s="419"/>
      <c r="K31" s="419">
        <f t="shared" si="0"/>
        <v>1300000</v>
      </c>
    </row>
    <row r="32" spans="1:11" s="311" customFormat="1" ht="30">
      <c r="A32" s="523"/>
      <c r="B32" s="524"/>
      <c r="C32" s="532"/>
      <c r="D32" s="524"/>
      <c r="E32" s="524">
        <v>12.1</v>
      </c>
      <c r="F32" s="476">
        <v>425</v>
      </c>
      <c r="G32" s="533" t="s">
        <v>231</v>
      </c>
      <c r="H32" s="534">
        <v>1000000</v>
      </c>
      <c r="I32" s="534"/>
      <c r="J32" s="419"/>
      <c r="K32" s="419">
        <f t="shared" si="0"/>
        <v>1000000</v>
      </c>
    </row>
    <row r="33" spans="1:11" s="311" customFormat="1" ht="17.25" customHeight="1">
      <c r="A33" s="523"/>
      <c r="B33" s="524"/>
      <c r="C33" s="532"/>
      <c r="D33" s="524"/>
      <c r="E33" s="524">
        <v>13</v>
      </c>
      <c r="F33" s="476">
        <v>426</v>
      </c>
      <c r="G33" s="533" t="s">
        <v>307</v>
      </c>
      <c r="H33" s="534">
        <v>200000</v>
      </c>
      <c r="I33" s="534"/>
      <c r="J33" s="419"/>
      <c r="K33" s="419">
        <f t="shared" si="0"/>
        <v>200000</v>
      </c>
    </row>
    <row r="34" spans="1:11" s="311" customFormat="1" ht="39" customHeight="1">
      <c r="A34" s="523"/>
      <c r="B34" s="524"/>
      <c r="C34" s="532"/>
      <c r="D34" s="524"/>
      <c r="E34" s="524"/>
      <c r="F34" s="476"/>
      <c r="G34" s="550" t="s">
        <v>604</v>
      </c>
      <c r="H34" s="551"/>
      <c r="I34" s="552"/>
      <c r="J34" s="552"/>
      <c r="K34" s="419">
        <f t="shared" si="0"/>
        <v>0</v>
      </c>
    </row>
    <row r="35" spans="1:11" s="311" customFormat="1" ht="69" customHeight="1">
      <c r="A35" s="523"/>
      <c r="B35" s="524"/>
      <c r="C35" s="532"/>
      <c r="D35" s="524"/>
      <c r="E35" s="524">
        <v>14</v>
      </c>
      <c r="F35" s="476">
        <v>484</v>
      </c>
      <c r="G35" s="553" t="s">
        <v>236</v>
      </c>
      <c r="H35" s="551">
        <v>400000</v>
      </c>
      <c r="I35" s="534"/>
      <c r="J35" s="419"/>
      <c r="K35" s="419">
        <f t="shared" si="0"/>
        <v>400000</v>
      </c>
    </row>
    <row r="36" spans="1:11" s="311" customFormat="1" ht="28.5">
      <c r="A36" s="523"/>
      <c r="B36" s="524"/>
      <c r="C36" s="532"/>
      <c r="D36" s="524"/>
      <c r="E36" s="535"/>
      <c r="F36" s="476"/>
      <c r="G36" s="536" t="s">
        <v>348</v>
      </c>
      <c r="H36" s="537"/>
      <c r="I36" s="537"/>
      <c r="J36" s="537"/>
      <c r="K36" s="419">
        <f t="shared" si="0"/>
        <v>0</v>
      </c>
    </row>
    <row r="37" spans="1:11" s="311" customFormat="1" ht="15">
      <c r="A37" s="523"/>
      <c r="B37" s="524"/>
      <c r="C37" s="532"/>
      <c r="D37" s="524"/>
      <c r="E37" s="524"/>
      <c r="F37" s="538" t="s">
        <v>87</v>
      </c>
      <c r="G37" s="539" t="s">
        <v>88</v>
      </c>
      <c r="H37" s="527"/>
      <c r="I37" s="527"/>
      <c r="J37" s="527"/>
      <c r="K37" s="419">
        <f t="shared" si="0"/>
        <v>0</v>
      </c>
    </row>
    <row r="38" spans="1:11" s="311" customFormat="1" ht="15">
      <c r="A38" s="523"/>
      <c r="B38" s="524"/>
      <c r="C38" s="532"/>
      <c r="D38" s="524"/>
      <c r="E38" s="524"/>
      <c r="F38" s="526"/>
      <c r="G38" s="540" t="s">
        <v>333</v>
      </c>
      <c r="H38" s="541">
        <f>SUM(H27:H35)</f>
        <v>8339000</v>
      </c>
      <c r="I38" s="541">
        <f>SUM(I27:I35)</f>
        <v>0</v>
      </c>
      <c r="J38" s="541">
        <f>SUM(J27:J35)</f>
        <v>0</v>
      </c>
      <c r="K38" s="419">
        <f t="shared" si="0"/>
        <v>8339000</v>
      </c>
    </row>
    <row r="39" spans="1:11" s="311" customFormat="1" ht="42.75" collapsed="1">
      <c r="A39" s="523"/>
      <c r="B39" s="524"/>
      <c r="C39" s="532"/>
      <c r="D39" s="524"/>
      <c r="E39" s="535"/>
      <c r="F39" s="476"/>
      <c r="G39" s="554" t="s">
        <v>591</v>
      </c>
      <c r="H39" s="537"/>
      <c r="I39" s="537"/>
      <c r="J39" s="537"/>
      <c r="K39" s="419">
        <f t="shared" si="0"/>
        <v>0</v>
      </c>
    </row>
    <row r="40" spans="1:11" s="311" customFormat="1" ht="15">
      <c r="A40" s="523"/>
      <c r="B40" s="524"/>
      <c r="C40" s="532"/>
      <c r="D40" s="524"/>
      <c r="E40" s="524"/>
      <c r="F40" s="538" t="s">
        <v>87</v>
      </c>
      <c r="G40" s="539" t="s">
        <v>88</v>
      </c>
      <c r="H40" s="527"/>
      <c r="I40" s="527"/>
      <c r="J40" s="527"/>
      <c r="K40" s="419">
        <f t="shared" si="0"/>
        <v>0</v>
      </c>
    </row>
    <row r="41" spans="1:11" s="311" customFormat="1" ht="28.5" collapsed="1">
      <c r="A41" s="523"/>
      <c r="B41" s="524"/>
      <c r="C41" s="532"/>
      <c r="D41" s="524"/>
      <c r="E41" s="524"/>
      <c r="F41" s="526"/>
      <c r="G41" s="540" t="s">
        <v>590</v>
      </c>
      <c r="H41" s="541">
        <f>H38</f>
        <v>8339000</v>
      </c>
      <c r="I41" s="541">
        <f>I38</f>
        <v>0</v>
      </c>
      <c r="J41" s="541">
        <f>J38</f>
        <v>0</v>
      </c>
      <c r="K41" s="419">
        <f t="shared" si="0"/>
        <v>8339000</v>
      </c>
    </row>
    <row r="42" spans="1:11" s="311" customFormat="1" ht="28.5">
      <c r="A42" s="523"/>
      <c r="B42" s="524"/>
      <c r="C42" s="532"/>
      <c r="D42" s="524"/>
      <c r="E42" s="535"/>
      <c r="F42" s="476"/>
      <c r="G42" s="554" t="s">
        <v>272</v>
      </c>
      <c r="H42" s="537"/>
      <c r="I42" s="537"/>
      <c r="J42" s="537"/>
      <c r="K42" s="419">
        <f t="shared" si="0"/>
        <v>0</v>
      </c>
    </row>
    <row r="43" spans="1:11" s="311" customFormat="1" ht="15">
      <c r="A43" s="523"/>
      <c r="B43" s="524"/>
      <c r="C43" s="532"/>
      <c r="D43" s="524"/>
      <c r="E43" s="524"/>
      <c r="F43" s="538" t="s">
        <v>87</v>
      </c>
      <c r="G43" s="539" t="s">
        <v>88</v>
      </c>
      <c r="H43" s="527"/>
      <c r="I43" s="527"/>
      <c r="J43" s="527"/>
      <c r="K43" s="419">
        <f t="shared" si="0"/>
        <v>0</v>
      </c>
    </row>
    <row r="44" spans="1:11" s="311" customFormat="1" ht="15">
      <c r="A44" s="523"/>
      <c r="B44" s="524"/>
      <c r="C44" s="532"/>
      <c r="D44" s="524"/>
      <c r="E44" s="524"/>
      <c r="F44" s="526"/>
      <c r="G44" s="540" t="s">
        <v>593</v>
      </c>
      <c r="H44" s="541">
        <f>SUM(H41)</f>
        <v>8339000</v>
      </c>
      <c r="I44" s="541">
        <f>SUM(I41)</f>
        <v>0</v>
      </c>
      <c r="J44" s="541">
        <f>SUM(J41)</f>
        <v>0</v>
      </c>
      <c r="K44" s="419">
        <f t="shared" si="0"/>
        <v>8339000</v>
      </c>
    </row>
    <row r="45" spans="1:11" s="311" customFormat="1" ht="27" customHeight="1">
      <c r="A45" s="546">
        <v>3</v>
      </c>
      <c r="B45" s="547">
        <v>3.01</v>
      </c>
      <c r="C45" s="532"/>
      <c r="D45" s="524"/>
      <c r="E45" s="524"/>
      <c r="F45" s="526"/>
      <c r="G45" s="806" t="s">
        <v>96</v>
      </c>
      <c r="H45" s="527"/>
      <c r="I45" s="527"/>
      <c r="J45" s="527"/>
      <c r="K45" s="419">
        <f t="shared" si="0"/>
        <v>0</v>
      </c>
    </row>
    <row r="46" spans="1:11" s="311" customFormat="1" ht="42.75">
      <c r="A46" s="523"/>
      <c r="B46" s="524"/>
      <c r="C46" s="525" t="s">
        <v>581</v>
      </c>
      <c r="D46" s="524"/>
      <c r="E46" s="524"/>
      <c r="F46" s="526"/>
      <c r="G46" s="803" t="s">
        <v>580</v>
      </c>
      <c r="H46" s="527"/>
      <c r="I46" s="527"/>
      <c r="J46" s="527"/>
      <c r="K46" s="419">
        <f t="shared" si="0"/>
        <v>0</v>
      </c>
    </row>
    <row r="47" spans="1:11" s="311" customFormat="1" ht="42.75">
      <c r="A47" s="523"/>
      <c r="B47" s="524"/>
      <c r="C47" s="864" t="s">
        <v>587</v>
      </c>
      <c r="D47" s="864"/>
      <c r="E47" s="524"/>
      <c r="F47" s="526"/>
      <c r="G47" s="803" t="s">
        <v>592</v>
      </c>
      <c r="H47" s="527"/>
      <c r="I47" s="527"/>
      <c r="J47" s="527"/>
      <c r="K47" s="419">
        <f t="shared" si="0"/>
        <v>0</v>
      </c>
    </row>
    <row r="48" spans="1:11" s="311" customFormat="1" ht="30">
      <c r="A48" s="523"/>
      <c r="B48" s="524"/>
      <c r="C48" s="525"/>
      <c r="D48" s="529">
        <v>110</v>
      </c>
      <c r="E48" s="529"/>
      <c r="F48" s="530"/>
      <c r="G48" s="549" t="s">
        <v>6</v>
      </c>
      <c r="H48" s="527"/>
      <c r="I48" s="527"/>
      <c r="J48" s="527"/>
      <c r="K48" s="419">
        <f t="shared" si="0"/>
        <v>0</v>
      </c>
    </row>
    <row r="49" spans="1:11" s="311" customFormat="1" ht="30">
      <c r="A49" s="523"/>
      <c r="B49" s="524"/>
      <c r="C49" s="532"/>
      <c r="D49" s="524"/>
      <c r="E49" s="524">
        <v>15</v>
      </c>
      <c r="F49" s="476">
        <v>411</v>
      </c>
      <c r="G49" s="533" t="s">
        <v>222</v>
      </c>
      <c r="H49" s="534">
        <v>6990000</v>
      </c>
      <c r="I49" s="534"/>
      <c r="J49" s="419"/>
      <c r="K49" s="419">
        <f t="shared" si="0"/>
        <v>6990000</v>
      </c>
    </row>
    <row r="50" spans="1:11" s="311" customFormat="1" ht="30">
      <c r="A50" s="523"/>
      <c r="B50" s="524"/>
      <c r="C50" s="532"/>
      <c r="D50" s="524"/>
      <c r="E50" s="524">
        <v>16</v>
      </c>
      <c r="F50" s="476">
        <v>412</v>
      </c>
      <c r="G50" s="533" t="s">
        <v>287</v>
      </c>
      <c r="H50" s="534">
        <v>1060000</v>
      </c>
      <c r="I50" s="534"/>
      <c r="J50" s="419"/>
      <c r="K50" s="419">
        <f t="shared" si="0"/>
        <v>1060000</v>
      </c>
    </row>
    <row r="51" spans="1:11" s="311" customFormat="1" ht="15">
      <c r="A51" s="523"/>
      <c r="B51" s="524"/>
      <c r="C51" s="532"/>
      <c r="D51" s="524"/>
      <c r="E51" s="524">
        <v>17</v>
      </c>
      <c r="F51" s="476">
        <v>422</v>
      </c>
      <c r="G51" s="533" t="s">
        <v>300</v>
      </c>
      <c r="H51" s="534">
        <v>100000</v>
      </c>
      <c r="I51" s="534"/>
      <c r="J51" s="419"/>
      <c r="K51" s="419">
        <f t="shared" si="0"/>
        <v>100000</v>
      </c>
    </row>
    <row r="52" spans="1:11" s="311" customFormat="1" ht="15.75" customHeight="1">
      <c r="A52" s="523"/>
      <c r="B52" s="524"/>
      <c r="C52" s="532"/>
      <c r="D52" s="524"/>
      <c r="E52" s="524">
        <v>18</v>
      </c>
      <c r="F52" s="476">
        <v>423</v>
      </c>
      <c r="G52" s="533" t="s">
        <v>301</v>
      </c>
      <c r="H52" s="534">
        <v>1200000</v>
      </c>
      <c r="I52" s="534"/>
      <c r="J52" s="419"/>
      <c r="K52" s="419">
        <f t="shared" si="0"/>
        <v>1200000</v>
      </c>
    </row>
    <row r="53" spans="1:11" s="311" customFormat="1" ht="15.75" customHeight="1">
      <c r="A53" s="523"/>
      <c r="B53" s="524"/>
      <c r="C53" s="532"/>
      <c r="D53" s="524"/>
      <c r="E53" s="524">
        <v>18.1</v>
      </c>
      <c r="F53" s="476">
        <v>425</v>
      </c>
      <c r="G53" s="533" t="s">
        <v>231</v>
      </c>
      <c r="H53" s="534">
        <v>1000000</v>
      </c>
      <c r="I53" s="534"/>
      <c r="J53" s="419"/>
      <c r="K53" s="419"/>
    </row>
    <row r="54" spans="1:11" s="311" customFormat="1" ht="28.5">
      <c r="A54" s="523"/>
      <c r="B54" s="524"/>
      <c r="C54" s="532"/>
      <c r="D54" s="524"/>
      <c r="E54" s="524"/>
      <c r="F54" s="476"/>
      <c r="G54" s="536" t="s">
        <v>348</v>
      </c>
      <c r="H54" s="537"/>
      <c r="I54" s="537"/>
      <c r="J54" s="537"/>
      <c r="K54" s="419">
        <f t="shared" si="0"/>
        <v>0</v>
      </c>
    </row>
    <row r="55" spans="1:11" s="311" customFormat="1" ht="15">
      <c r="A55" s="523"/>
      <c r="B55" s="524"/>
      <c r="C55" s="532"/>
      <c r="D55" s="524"/>
      <c r="E55" s="524"/>
      <c r="F55" s="538" t="s">
        <v>87</v>
      </c>
      <c r="G55" s="539" t="s">
        <v>88</v>
      </c>
      <c r="H55" s="527"/>
      <c r="I55" s="527"/>
      <c r="J55" s="527"/>
      <c r="K55" s="419">
        <f t="shared" si="0"/>
        <v>0</v>
      </c>
    </row>
    <row r="56" spans="1:11" s="311" customFormat="1" ht="15">
      <c r="A56" s="523"/>
      <c r="B56" s="524"/>
      <c r="C56" s="532"/>
      <c r="D56" s="524"/>
      <c r="E56" s="524"/>
      <c r="F56" s="526"/>
      <c r="G56" s="540" t="s">
        <v>333</v>
      </c>
      <c r="H56" s="541">
        <f>SUM(H49:H53)</f>
        <v>10350000</v>
      </c>
      <c r="I56" s="541">
        <f>SUM(I49:I52)</f>
        <v>0</v>
      </c>
      <c r="J56" s="541">
        <f>SUM(J49:J52)</f>
        <v>0</v>
      </c>
      <c r="K56" s="419">
        <f t="shared" si="0"/>
        <v>10350000</v>
      </c>
    </row>
    <row r="57" spans="1:11" s="311" customFormat="1" ht="42.75">
      <c r="A57" s="523"/>
      <c r="B57" s="524"/>
      <c r="C57" s="532"/>
      <c r="D57" s="524"/>
      <c r="E57" s="524"/>
      <c r="F57" s="476"/>
      <c r="G57" s="554" t="s">
        <v>591</v>
      </c>
      <c r="H57" s="537"/>
      <c r="I57" s="537"/>
      <c r="J57" s="537"/>
      <c r="K57" s="419">
        <f t="shared" si="0"/>
        <v>0</v>
      </c>
    </row>
    <row r="58" spans="1:11" s="311" customFormat="1" ht="15">
      <c r="A58" s="523"/>
      <c r="B58" s="524"/>
      <c r="C58" s="532"/>
      <c r="D58" s="524"/>
      <c r="E58" s="524"/>
      <c r="F58" s="538" t="s">
        <v>87</v>
      </c>
      <c r="G58" s="539" t="s">
        <v>88</v>
      </c>
      <c r="H58" s="527"/>
      <c r="I58" s="527"/>
      <c r="J58" s="527"/>
      <c r="K58" s="419">
        <f t="shared" si="0"/>
        <v>0</v>
      </c>
    </row>
    <row r="59" spans="1:11" s="311" customFormat="1" ht="28.5">
      <c r="A59" s="523"/>
      <c r="B59" s="524"/>
      <c r="C59" s="532"/>
      <c r="D59" s="524"/>
      <c r="E59" s="524"/>
      <c r="F59" s="526"/>
      <c r="G59" s="540" t="s">
        <v>590</v>
      </c>
      <c r="H59" s="541">
        <f>H56</f>
        <v>10350000</v>
      </c>
      <c r="I59" s="541">
        <f>I56</f>
        <v>0</v>
      </c>
      <c r="J59" s="541">
        <f>J56</f>
        <v>0</v>
      </c>
      <c r="K59" s="419">
        <f t="shared" si="0"/>
        <v>10350000</v>
      </c>
    </row>
    <row r="60" spans="1:11" s="311" customFormat="1" ht="28.5">
      <c r="A60" s="523"/>
      <c r="B60" s="524"/>
      <c r="C60" s="532"/>
      <c r="D60" s="524"/>
      <c r="E60" s="524"/>
      <c r="F60" s="476"/>
      <c r="G60" s="554" t="s">
        <v>594</v>
      </c>
      <c r="H60" s="537"/>
      <c r="I60" s="537"/>
      <c r="J60" s="537"/>
      <c r="K60" s="419">
        <f t="shared" si="0"/>
        <v>0</v>
      </c>
    </row>
    <row r="61" spans="1:11" s="311" customFormat="1" ht="15">
      <c r="A61" s="523"/>
      <c r="B61" s="524"/>
      <c r="C61" s="532"/>
      <c r="D61" s="524"/>
      <c r="E61" s="524"/>
      <c r="F61" s="538" t="s">
        <v>87</v>
      </c>
      <c r="G61" s="539" t="s">
        <v>88</v>
      </c>
      <c r="H61" s="527"/>
      <c r="I61" s="527"/>
      <c r="J61" s="527"/>
      <c r="K61" s="419">
        <f t="shared" si="0"/>
        <v>0</v>
      </c>
    </row>
    <row r="62" spans="1:11" s="311" customFormat="1" ht="15">
      <c r="A62" s="523"/>
      <c r="B62" s="524"/>
      <c r="C62" s="532"/>
      <c r="D62" s="524"/>
      <c r="E62" s="524"/>
      <c r="F62" s="526"/>
      <c r="G62" s="540" t="s">
        <v>595</v>
      </c>
      <c r="H62" s="541">
        <f>SUM(H59)</f>
        <v>10350000</v>
      </c>
      <c r="I62" s="541">
        <f>SUM(I59)</f>
        <v>0</v>
      </c>
      <c r="J62" s="541">
        <f>SUM(J59)</f>
        <v>0</v>
      </c>
      <c r="K62" s="419">
        <f t="shared" si="0"/>
        <v>10350000</v>
      </c>
    </row>
    <row r="63" spans="1:11" s="311" customFormat="1" ht="15">
      <c r="A63" s="523"/>
      <c r="B63" s="524"/>
      <c r="C63" s="532"/>
      <c r="D63" s="524"/>
      <c r="E63" s="524"/>
      <c r="F63" s="526"/>
      <c r="G63" s="540" t="s">
        <v>596</v>
      </c>
      <c r="H63" s="541">
        <f>SUM(H44+H62)</f>
        <v>18689000</v>
      </c>
      <c r="I63" s="541">
        <f>SUM(I44+I62)</f>
        <v>0</v>
      </c>
      <c r="J63" s="541">
        <f>SUM(J44+J62)</f>
        <v>0</v>
      </c>
      <c r="K63" s="419">
        <f t="shared" si="0"/>
        <v>18689000</v>
      </c>
    </row>
    <row r="64" spans="1:11" s="311" customFormat="1" ht="27" customHeight="1">
      <c r="A64" s="546">
        <v>4</v>
      </c>
      <c r="B64" s="547">
        <v>4.01</v>
      </c>
      <c r="C64" s="532"/>
      <c r="D64" s="524"/>
      <c r="E64" s="524" t="s">
        <v>92</v>
      </c>
      <c r="F64" s="526"/>
      <c r="G64" s="806" t="s">
        <v>248</v>
      </c>
      <c r="H64" s="527"/>
      <c r="I64" s="527"/>
      <c r="J64" s="527"/>
      <c r="K64" s="419">
        <f t="shared" si="0"/>
        <v>0</v>
      </c>
    </row>
    <row r="65" spans="1:11" s="311" customFormat="1" ht="28.5">
      <c r="A65" s="523"/>
      <c r="B65" s="524"/>
      <c r="C65" s="525" t="s">
        <v>470</v>
      </c>
      <c r="D65" s="809"/>
      <c r="E65" s="524"/>
      <c r="F65" s="526"/>
      <c r="G65" s="806" t="s">
        <v>221</v>
      </c>
      <c r="H65" s="527"/>
      <c r="I65" s="527"/>
      <c r="J65" s="527"/>
      <c r="K65" s="419">
        <f t="shared" si="0"/>
        <v>0</v>
      </c>
    </row>
    <row r="66" spans="1:11" s="311" customFormat="1" ht="42.75">
      <c r="A66" s="523"/>
      <c r="B66" s="524"/>
      <c r="C66" s="525" t="s">
        <v>204</v>
      </c>
      <c r="D66" s="809"/>
      <c r="E66" s="524"/>
      <c r="F66" s="526"/>
      <c r="G66" s="803" t="s">
        <v>247</v>
      </c>
      <c r="H66" s="527"/>
      <c r="I66" s="527"/>
      <c r="J66" s="527"/>
      <c r="K66" s="419">
        <f t="shared" si="0"/>
        <v>0</v>
      </c>
    </row>
    <row r="67" spans="1:11" s="311" customFormat="1" ht="15">
      <c r="A67" s="523"/>
      <c r="B67" s="524"/>
      <c r="C67" s="525"/>
      <c r="D67" s="529">
        <v>130</v>
      </c>
      <c r="E67" s="529"/>
      <c r="F67" s="530"/>
      <c r="G67" s="549" t="s">
        <v>7</v>
      </c>
      <c r="H67" s="555"/>
      <c r="I67" s="555"/>
      <c r="J67" s="555"/>
      <c r="K67" s="419">
        <f t="shared" si="0"/>
        <v>0</v>
      </c>
    </row>
    <row r="68" spans="1:11" s="311" customFormat="1" ht="30">
      <c r="A68" s="523"/>
      <c r="B68" s="524"/>
      <c r="C68" s="532"/>
      <c r="D68" s="524"/>
      <c r="E68" s="524">
        <v>19</v>
      </c>
      <c r="F68" s="476">
        <v>411</v>
      </c>
      <c r="G68" s="533" t="s">
        <v>222</v>
      </c>
      <c r="H68" s="534">
        <v>49500000</v>
      </c>
      <c r="I68" s="534"/>
      <c r="J68" s="419"/>
      <c r="K68" s="419">
        <f t="shared" si="0"/>
        <v>49500000</v>
      </c>
    </row>
    <row r="69" spans="1:11" s="311" customFormat="1" ht="30">
      <c r="A69" s="523"/>
      <c r="B69" s="524"/>
      <c r="C69" s="532"/>
      <c r="D69" s="524"/>
      <c r="E69" s="524">
        <v>20</v>
      </c>
      <c r="F69" s="476">
        <v>412</v>
      </c>
      <c r="G69" s="533" t="s">
        <v>287</v>
      </c>
      <c r="H69" s="534">
        <v>7490000</v>
      </c>
      <c r="I69" s="534"/>
      <c r="J69" s="419"/>
      <c r="K69" s="419">
        <f t="shared" si="0"/>
        <v>7490000</v>
      </c>
    </row>
    <row r="70" spans="1:11" s="311" customFormat="1" ht="15">
      <c r="A70" s="523"/>
      <c r="B70" s="524"/>
      <c r="C70" s="532"/>
      <c r="D70" s="524"/>
      <c r="E70" s="524">
        <v>21</v>
      </c>
      <c r="F70" s="476">
        <v>413</v>
      </c>
      <c r="G70" s="533" t="s">
        <v>223</v>
      </c>
      <c r="H70" s="534">
        <v>500000</v>
      </c>
      <c r="I70" s="534"/>
      <c r="J70" s="419"/>
      <c r="K70" s="419">
        <f t="shared" si="0"/>
        <v>500000</v>
      </c>
    </row>
    <row r="71" spans="1:11" s="311" customFormat="1" ht="15.75" customHeight="1">
      <c r="A71" s="523"/>
      <c r="B71" s="524"/>
      <c r="C71" s="532"/>
      <c r="D71" s="524"/>
      <c r="E71" s="524">
        <v>22</v>
      </c>
      <c r="F71" s="476">
        <v>414</v>
      </c>
      <c r="G71" s="533" t="s">
        <v>290</v>
      </c>
      <c r="H71" s="534">
        <v>600000</v>
      </c>
      <c r="I71" s="534"/>
      <c r="J71" s="419"/>
      <c r="K71" s="419">
        <f t="shared" si="0"/>
        <v>600000</v>
      </c>
    </row>
    <row r="72" spans="1:11" s="311" customFormat="1" ht="12.75" customHeight="1">
      <c r="A72" s="523"/>
      <c r="B72" s="524"/>
      <c r="C72" s="532"/>
      <c r="D72" s="524"/>
      <c r="E72" s="524">
        <v>23</v>
      </c>
      <c r="F72" s="476">
        <v>415</v>
      </c>
      <c r="G72" s="533" t="s">
        <v>229</v>
      </c>
      <c r="H72" s="534">
        <v>1200000</v>
      </c>
      <c r="I72" s="534"/>
      <c r="J72" s="419"/>
      <c r="K72" s="419">
        <f t="shared" si="0"/>
        <v>1200000</v>
      </c>
    </row>
    <row r="73" spans="1:11" s="311" customFormat="1" ht="36" customHeight="1">
      <c r="A73" s="523"/>
      <c r="B73" s="524"/>
      <c r="C73" s="532"/>
      <c r="D73" s="524"/>
      <c r="E73" s="524">
        <v>24</v>
      </c>
      <c r="F73" s="476">
        <v>416</v>
      </c>
      <c r="G73" s="533" t="s">
        <v>230</v>
      </c>
      <c r="H73" s="534">
        <v>300000</v>
      </c>
      <c r="I73" s="534"/>
      <c r="J73" s="419"/>
      <c r="K73" s="419">
        <f aca="true" t="shared" si="1" ref="K73:K135">SUM(H73:J73)</f>
        <v>300000</v>
      </c>
    </row>
    <row r="74" spans="1:11" s="311" customFormat="1" ht="15">
      <c r="A74" s="523"/>
      <c r="B74" s="524"/>
      <c r="C74" s="532"/>
      <c r="D74" s="524"/>
      <c r="E74" s="524">
        <v>25</v>
      </c>
      <c r="F74" s="476">
        <v>421</v>
      </c>
      <c r="G74" s="533" t="s">
        <v>299</v>
      </c>
      <c r="H74" s="534">
        <v>10700000</v>
      </c>
      <c r="I74" s="534"/>
      <c r="J74" s="419"/>
      <c r="K74" s="419">
        <f t="shared" si="1"/>
        <v>10700000</v>
      </c>
    </row>
    <row r="75" spans="1:11" s="311" customFormat="1" ht="15">
      <c r="A75" s="523"/>
      <c r="B75" s="524"/>
      <c r="C75" s="532"/>
      <c r="D75" s="524"/>
      <c r="E75" s="524">
        <v>26</v>
      </c>
      <c r="F75" s="476">
        <v>422</v>
      </c>
      <c r="G75" s="533" t="s">
        <v>300</v>
      </c>
      <c r="H75" s="534">
        <v>400000</v>
      </c>
      <c r="I75" s="534"/>
      <c r="J75" s="419"/>
      <c r="K75" s="419">
        <f t="shared" si="1"/>
        <v>400000</v>
      </c>
    </row>
    <row r="76" spans="1:11" s="311" customFormat="1" ht="15">
      <c r="A76" s="523"/>
      <c r="B76" s="524"/>
      <c r="C76" s="532"/>
      <c r="D76" s="524"/>
      <c r="E76" s="524">
        <v>27</v>
      </c>
      <c r="F76" s="476">
        <v>423</v>
      </c>
      <c r="G76" s="533" t="s">
        <v>301</v>
      </c>
      <c r="H76" s="534">
        <v>24000000</v>
      </c>
      <c r="I76" s="534"/>
      <c r="J76" s="419"/>
      <c r="K76" s="419">
        <f t="shared" si="1"/>
        <v>24000000</v>
      </c>
    </row>
    <row r="77" spans="1:11" s="311" customFormat="1" ht="15">
      <c r="A77" s="523"/>
      <c r="B77" s="524"/>
      <c r="C77" s="532"/>
      <c r="D77" s="524"/>
      <c r="E77" s="524">
        <v>28</v>
      </c>
      <c r="F77" s="476">
        <v>424</v>
      </c>
      <c r="G77" s="533" t="s">
        <v>303</v>
      </c>
      <c r="H77" s="534">
        <v>2000000</v>
      </c>
      <c r="I77" s="534"/>
      <c r="J77" s="419"/>
      <c r="K77" s="419">
        <f t="shared" si="1"/>
        <v>2000000</v>
      </c>
    </row>
    <row r="78" spans="1:11" s="311" customFormat="1" ht="13.5" customHeight="1">
      <c r="A78" s="523"/>
      <c r="B78" s="524"/>
      <c r="C78" s="532"/>
      <c r="D78" s="524"/>
      <c r="E78" s="524">
        <v>29</v>
      </c>
      <c r="F78" s="476">
        <v>425</v>
      </c>
      <c r="G78" s="533" t="s">
        <v>231</v>
      </c>
      <c r="H78" s="534">
        <v>2000000</v>
      </c>
      <c r="I78" s="534"/>
      <c r="J78" s="419"/>
      <c r="K78" s="419">
        <f t="shared" si="1"/>
        <v>2000000</v>
      </c>
    </row>
    <row r="79" spans="1:11" s="311" customFormat="1" ht="14.25" customHeight="1">
      <c r="A79" s="523"/>
      <c r="B79" s="524"/>
      <c r="C79" s="532"/>
      <c r="D79" s="524"/>
      <c r="E79" s="524">
        <v>30</v>
      </c>
      <c r="F79" s="476">
        <v>426</v>
      </c>
      <c r="G79" s="533" t="s">
        <v>307</v>
      </c>
      <c r="H79" s="534">
        <v>8000000</v>
      </c>
      <c r="I79" s="534"/>
      <c r="J79" s="419"/>
      <c r="K79" s="419">
        <f t="shared" si="1"/>
        <v>8000000</v>
      </c>
    </row>
    <row r="80" spans="1:11" s="311" customFormat="1" ht="118.5" customHeight="1">
      <c r="A80" s="523"/>
      <c r="B80" s="524"/>
      <c r="C80" s="532"/>
      <c r="D80" s="524"/>
      <c r="E80" s="556"/>
      <c r="F80" s="526"/>
      <c r="G80" s="557" t="s">
        <v>466</v>
      </c>
      <c r="H80" s="552"/>
      <c r="I80" s="552"/>
      <c r="J80" s="552"/>
      <c r="K80" s="419">
        <f t="shared" si="1"/>
        <v>0</v>
      </c>
    </row>
    <row r="81" spans="1:11" s="311" customFormat="1" ht="51.75" customHeight="1">
      <c r="A81" s="523"/>
      <c r="B81" s="524"/>
      <c r="C81" s="532"/>
      <c r="D81" s="524"/>
      <c r="E81" s="556">
        <v>31</v>
      </c>
      <c r="F81" s="476">
        <v>481</v>
      </c>
      <c r="G81" s="558" t="s">
        <v>416</v>
      </c>
      <c r="H81" s="534">
        <v>4000000</v>
      </c>
      <c r="I81" s="534"/>
      <c r="J81" s="419"/>
      <c r="K81" s="419">
        <f t="shared" si="1"/>
        <v>4000000</v>
      </c>
    </row>
    <row r="82" spans="1:11" s="311" customFormat="1" ht="30">
      <c r="A82" s="523"/>
      <c r="B82" s="524"/>
      <c r="C82" s="532"/>
      <c r="D82" s="524"/>
      <c r="E82" s="556">
        <v>32</v>
      </c>
      <c r="F82" s="476">
        <v>482</v>
      </c>
      <c r="G82" s="533" t="s">
        <v>234</v>
      </c>
      <c r="H82" s="534">
        <v>300000</v>
      </c>
      <c r="I82" s="534"/>
      <c r="J82" s="419"/>
      <c r="K82" s="419">
        <f t="shared" si="1"/>
        <v>300000</v>
      </c>
    </row>
    <row r="83" spans="1:11" s="311" customFormat="1" ht="30">
      <c r="A83" s="523"/>
      <c r="B83" s="524"/>
      <c r="C83" s="532"/>
      <c r="D83" s="524"/>
      <c r="E83" s="556">
        <v>33</v>
      </c>
      <c r="F83" s="476">
        <v>483</v>
      </c>
      <c r="G83" s="533" t="s">
        <v>235</v>
      </c>
      <c r="H83" s="534">
        <v>3000000</v>
      </c>
      <c r="I83" s="534"/>
      <c r="J83" s="419"/>
      <c r="K83" s="419">
        <f t="shared" si="1"/>
        <v>3000000</v>
      </c>
    </row>
    <row r="84" spans="1:11" s="311" customFormat="1" ht="73.5" customHeight="1">
      <c r="A84" s="523"/>
      <c r="B84" s="524"/>
      <c r="C84" s="532"/>
      <c r="D84" s="524"/>
      <c r="E84" s="556">
        <v>34</v>
      </c>
      <c r="F84" s="476">
        <v>485</v>
      </c>
      <c r="G84" s="533" t="s">
        <v>94</v>
      </c>
      <c r="H84" s="534">
        <v>1000000</v>
      </c>
      <c r="I84" s="534"/>
      <c r="J84" s="534"/>
      <c r="K84" s="419">
        <f t="shared" si="1"/>
        <v>1000000</v>
      </c>
    </row>
    <row r="85" spans="1:11" s="311" customFormat="1" ht="49.5" customHeight="1">
      <c r="A85" s="523"/>
      <c r="B85" s="524"/>
      <c r="C85" s="559" t="s">
        <v>209</v>
      </c>
      <c r="D85" s="560"/>
      <c r="E85" s="560"/>
      <c r="F85" s="561"/>
      <c r="G85" s="806" t="s">
        <v>597</v>
      </c>
      <c r="H85" s="562"/>
      <c r="I85" s="562"/>
      <c r="J85" s="562"/>
      <c r="K85" s="419">
        <f t="shared" si="1"/>
        <v>0</v>
      </c>
    </row>
    <row r="86" spans="1:11" s="311" customFormat="1" ht="27" customHeight="1">
      <c r="A86" s="523"/>
      <c r="B86" s="524"/>
      <c r="C86" s="563"/>
      <c r="D86" s="529">
        <v>160</v>
      </c>
      <c r="E86" s="529"/>
      <c r="F86" s="530"/>
      <c r="G86" s="549" t="s">
        <v>171</v>
      </c>
      <c r="H86" s="562"/>
      <c r="I86" s="562"/>
      <c r="J86" s="562"/>
      <c r="K86" s="419">
        <f t="shared" si="1"/>
        <v>0</v>
      </c>
    </row>
    <row r="87" spans="1:11" s="311" customFormat="1" ht="23.25" customHeight="1">
      <c r="A87" s="523"/>
      <c r="B87" s="524"/>
      <c r="C87" s="559"/>
      <c r="D87" s="560"/>
      <c r="E87" s="564">
        <v>35</v>
      </c>
      <c r="F87" s="479">
        <v>49912</v>
      </c>
      <c r="G87" s="533" t="s">
        <v>135</v>
      </c>
      <c r="H87" s="534">
        <v>4000000</v>
      </c>
      <c r="I87" s="534">
        <v>0</v>
      </c>
      <c r="J87" s="419"/>
      <c r="K87" s="419">
        <f t="shared" si="1"/>
        <v>4000000</v>
      </c>
    </row>
    <row r="88" spans="1:11" s="311" customFormat="1" ht="52.5" customHeight="1">
      <c r="A88" s="523"/>
      <c r="B88" s="524"/>
      <c r="C88" s="532"/>
      <c r="D88" s="524"/>
      <c r="E88" s="556"/>
      <c r="F88" s="479"/>
      <c r="G88" s="540" t="s">
        <v>598</v>
      </c>
      <c r="H88" s="565">
        <f>H87</f>
        <v>4000000</v>
      </c>
      <c r="I88" s="565">
        <f>I87</f>
        <v>0</v>
      </c>
      <c r="J88" s="565">
        <f>J87</f>
        <v>0</v>
      </c>
      <c r="K88" s="565">
        <f>K87</f>
        <v>4000000</v>
      </c>
    </row>
    <row r="89" spans="1:11" s="311" customFormat="1" ht="32.25" customHeight="1">
      <c r="A89" s="523"/>
      <c r="B89" s="524"/>
      <c r="C89" s="559" t="s">
        <v>210</v>
      </c>
      <c r="D89" s="560"/>
      <c r="E89" s="560"/>
      <c r="F89" s="566"/>
      <c r="G89" s="806" t="s">
        <v>599</v>
      </c>
      <c r="H89" s="562"/>
      <c r="I89" s="562"/>
      <c r="J89" s="562"/>
      <c r="K89" s="419">
        <f t="shared" si="1"/>
        <v>0</v>
      </c>
    </row>
    <row r="90" spans="1:11" s="311" customFormat="1" ht="44.25" customHeight="1">
      <c r="A90" s="523"/>
      <c r="B90" s="524"/>
      <c r="C90" s="563"/>
      <c r="D90" s="529">
        <v>160</v>
      </c>
      <c r="E90" s="529"/>
      <c r="F90" s="567"/>
      <c r="G90" s="549" t="s">
        <v>171</v>
      </c>
      <c r="H90" s="562"/>
      <c r="I90" s="562"/>
      <c r="J90" s="562"/>
      <c r="K90" s="419">
        <f t="shared" si="1"/>
        <v>0</v>
      </c>
    </row>
    <row r="91" spans="1:11" s="311" customFormat="1" ht="21" customHeight="1">
      <c r="A91" s="523"/>
      <c r="B91" s="524"/>
      <c r="C91" s="559"/>
      <c r="D91" s="560"/>
      <c r="E91" s="568">
        <v>36</v>
      </c>
      <c r="F91" s="479">
        <v>49911</v>
      </c>
      <c r="G91" s="533" t="s">
        <v>133</v>
      </c>
      <c r="H91" s="562">
        <v>300000</v>
      </c>
      <c r="I91" s="562"/>
      <c r="J91" s="562"/>
      <c r="K91" s="419">
        <f t="shared" si="1"/>
        <v>300000</v>
      </c>
    </row>
    <row r="92" spans="1:11" s="311" customFormat="1" ht="40.5" customHeight="1">
      <c r="A92" s="523"/>
      <c r="B92" s="524"/>
      <c r="C92" s="532"/>
      <c r="D92" s="524"/>
      <c r="E92" s="556"/>
      <c r="F92" s="476"/>
      <c r="G92" s="540" t="s">
        <v>600</v>
      </c>
      <c r="H92" s="565">
        <f>H91</f>
        <v>300000</v>
      </c>
      <c r="I92" s="565">
        <f>I91</f>
        <v>0</v>
      </c>
      <c r="J92" s="565">
        <f>J91</f>
        <v>0</v>
      </c>
      <c r="K92" s="419">
        <f t="shared" si="1"/>
        <v>300000</v>
      </c>
    </row>
    <row r="93" spans="1:11" s="311" customFormat="1" ht="39.75" customHeight="1">
      <c r="A93" s="523"/>
      <c r="B93" s="524"/>
      <c r="C93" s="532"/>
      <c r="D93" s="524"/>
      <c r="E93" s="556"/>
      <c r="F93" s="476"/>
      <c r="G93" s="554" t="s">
        <v>601</v>
      </c>
      <c r="H93" s="565">
        <f>H88+H92</f>
        <v>4300000</v>
      </c>
      <c r="I93" s="565">
        <f>I88+I92</f>
        <v>0</v>
      </c>
      <c r="J93" s="565">
        <f>J88+J92</f>
        <v>0</v>
      </c>
      <c r="K93" s="419">
        <f t="shared" si="1"/>
        <v>4300000</v>
      </c>
    </row>
    <row r="94" spans="1:11" s="311" customFormat="1" ht="30">
      <c r="A94" s="523"/>
      <c r="B94" s="524"/>
      <c r="C94" s="532"/>
      <c r="D94" s="524">
        <v>130</v>
      </c>
      <c r="E94" s="556">
        <v>37</v>
      </c>
      <c r="F94" s="476">
        <v>511</v>
      </c>
      <c r="G94" s="533" t="s">
        <v>237</v>
      </c>
      <c r="H94" s="534">
        <v>100000</v>
      </c>
      <c r="I94" s="534"/>
      <c r="J94" s="419"/>
      <c r="K94" s="419">
        <f t="shared" si="1"/>
        <v>100000</v>
      </c>
    </row>
    <row r="95" spans="1:11" s="311" customFormat="1" ht="15">
      <c r="A95" s="523"/>
      <c r="B95" s="524"/>
      <c r="C95" s="532"/>
      <c r="D95" s="524"/>
      <c r="E95" s="556">
        <v>38</v>
      </c>
      <c r="F95" s="476">
        <v>512</v>
      </c>
      <c r="G95" s="533" t="s">
        <v>238</v>
      </c>
      <c r="H95" s="534">
        <v>500000</v>
      </c>
      <c r="I95" s="534"/>
      <c r="J95" s="419"/>
      <c r="K95" s="419">
        <f t="shared" si="1"/>
        <v>500000</v>
      </c>
    </row>
    <row r="96" spans="1:11" s="311" customFormat="1" ht="30" customHeight="1">
      <c r="A96" s="523"/>
      <c r="B96" s="524"/>
      <c r="C96" s="532"/>
      <c r="D96" s="524"/>
      <c r="E96" s="524"/>
      <c r="F96" s="476"/>
      <c r="G96" s="554" t="s">
        <v>270</v>
      </c>
      <c r="H96" s="527"/>
      <c r="I96" s="527"/>
      <c r="J96" s="527"/>
      <c r="K96" s="419">
        <f t="shared" si="1"/>
        <v>0</v>
      </c>
    </row>
    <row r="97" spans="1:11" s="311" customFormat="1" ht="17.25" customHeight="1">
      <c r="A97" s="523"/>
      <c r="B97" s="524"/>
      <c r="C97" s="532"/>
      <c r="D97" s="524"/>
      <c r="E97" s="524"/>
      <c r="F97" s="538" t="s">
        <v>87</v>
      </c>
      <c r="G97" s="539" t="s">
        <v>88</v>
      </c>
      <c r="H97" s="527"/>
      <c r="I97" s="527"/>
      <c r="J97" s="527"/>
      <c r="K97" s="419">
        <f t="shared" si="1"/>
        <v>0</v>
      </c>
    </row>
    <row r="98" spans="1:11" s="311" customFormat="1" ht="17.25" customHeight="1">
      <c r="A98" s="523"/>
      <c r="B98" s="524"/>
      <c r="C98" s="532"/>
      <c r="D98" s="524"/>
      <c r="E98" s="524"/>
      <c r="F98" s="538"/>
      <c r="G98" s="540" t="s">
        <v>276</v>
      </c>
      <c r="H98" s="541">
        <f>SUM(H68:H84)+H94+H95</f>
        <v>115590000</v>
      </c>
      <c r="I98" s="541">
        <f>SUM(I68:I84)+I94+I95</f>
        <v>0</v>
      </c>
      <c r="J98" s="541">
        <f>SUM(J68:J84)+J94+J95</f>
        <v>0</v>
      </c>
      <c r="K98" s="541">
        <f>SUM(K68:K84)+K94+K95</f>
        <v>115590000</v>
      </c>
    </row>
    <row r="99" spans="1:11" s="311" customFormat="1" ht="46.5" customHeight="1">
      <c r="A99" s="523"/>
      <c r="B99" s="524"/>
      <c r="C99" s="532"/>
      <c r="D99" s="524"/>
      <c r="E99" s="524"/>
      <c r="F99" s="476"/>
      <c r="G99" s="554" t="s">
        <v>271</v>
      </c>
      <c r="H99" s="527"/>
      <c r="I99" s="527"/>
      <c r="J99" s="527"/>
      <c r="K99" s="419">
        <f t="shared" si="1"/>
        <v>0</v>
      </c>
    </row>
    <row r="100" spans="1:11" s="311" customFormat="1" ht="27.75" customHeight="1">
      <c r="A100" s="523"/>
      <c r="B100" s="524"/>
      <c r="C100" s="532"/>
      <c r="D100" s="524"/>
      <c r="E100" s="524"/>
      <c r="F100" s="538" t="s">
        <v>87</v>
      </c>
      <c r="G100" s="539" t="s">
        <v>88</v>
      </c>
      <c r="H100" s="527"/>
      <c r="I100" s="527"/>
      <c r="J100" s="527"/>
      <c r="K100" s="419">
        <f t="shared" si="1"/>
        <v>0</v>
      </c>
    </row>
    <row r="101" spans="1:11" s="311" customFormat="1" ht="36" customHeight="1">
      <c r="A101" s="523"/>
      <c r="B101" s="524"/>
      <c r="C101" s="532"/>
      <c r="D101" s="524"/>
      <c r="E101" s="524"/>
      <c r="F101" s="538"/>
      <c r="G101" s="540" t="s">
        <v>454</v>
      </c>
      <c r="H101" s="541">
        <f>H98</f>
        <v>115590000</v>
      </c>
      <c r="I101" s="541">
        <f>I98</f>
        <v>0</v>
      </c>
      <c r="J101" s="541">
        <f>J98</f>
        <v>0</v>
      </c>
      <c r="K101" s="541">
        <f>K98</f>
        <v>115590000</v>
      </c>
    </row>
    <row r="102" spans="1:11" s="311" customFormat="1" ht="17.25" customHeight="1">
      <c r="A102" s="523"/>
      <c r="B102" s="524"/>
      <c r="C102" s="569" t="s">
        <v>207</v>
      </c>
      <c r="D102" s="556"/>
      <c r="E102" s="524"/>
      <c r="F102" s="526"/>
      <c r="G102" s="570" t="s">
        <v>610</v>
      </c>
      <c r="H102" s="527"/>
      <c r="I102" s="527"/>
      <c r="J102" s="527"/>
      <c r="K102" s="419">
        <f t="shared" si="1"/>
        <v>0</v>
      </c>
    </row>
    <row r="103" spans="1:11" s="311" customFormat="1" ht="17.25" customHeight="1">
      <c r="A103" s="523"/>
      <c r="B103" s="524"/>
      <c r="C103" s="532"/>
      <c r="D103" s="529">
        <v>170</v>
      </c>
      <c r="E103" s="529"/>
      <c r="F103" s="530"/>
      <c r="G103" s="571" t="s">
        <v>208</v>
      </c>
      <c r="H103" s="527"/>
      <c r="I103" s="527"/>
      <c r="J103" s="527"/>
      <c r="K103" s="419">
        <f t="shared" si="1"/>
        <v>0</v>
      </c>
    </row>
    <row r="104" spans="1:11" s="311" customFormat="1" ht="17.25" customHeight="1">
      <c r="A104" s="523"/>
      <c r="B104" s="524"/>
      <c r="C104" s="532"/>
      <c r="D104" s="524"/>
      <c r="E104" s="524">
        <v>39</v>
      </c>
      <c r="F104" s="476">
        <v>441</v>
      </c>
      <c r="G104" s="533" t="s">
        <v>232</v>
      </c>
      <c r="H104" s="534">
        <v>10000000</v>
      </c>
      <c r="I104" s="534"/>
      <c r="J104" s="419"/>
      <c r="K104" s="419">
        <f t="shared" si="1"/>
        <v>10000000</v>
      </c>
    </row>
    <row r="105" spans="1:11" s="311" customFormat="1" ht="17.25" customHeight="1">
      <c r="A105" s="523"/>
      <c r="B105" s="524"/>
      <c r="C105" s="532"/>
      <c r="D105" s="524"/>
      <c r="E105" s="524">
        <v>40</v>
      </c>
      <c r="F105" s="476">
        <v>444</v>
      </c>
      <c r="G105" s="533" t="s">
        <v>750</v>
      </c>
      <c r="H105" s="534">
        <v>200000</v>
      </c>
      <c r="I105" s="534"/>
      <c r="J105" s="419"/>
      <c r="K105" s="419">
        <f t="shared" si="1"/>
        <v>200000</v>
      </c>
    </row>
    <row r="106" spans="1:11" s="311" customFormat="1" ht="30">
      <c r="A106" s="523"/>
      <c r="B106" s="524"/>
      <c r="C106" s="532"/>
      <c r="D106" s="524"/>
      <c r="E106" s="524">
        <v>41</v>
      </c>
      <c r="F106" s="476">
        <v>611</v>
      </c>
      <c r="G106" s="533" t="s">
        <v>158</v>
      </c>
      <c r="H106" s="534">
        <v>20000000</v>
      </c>
      <c r="I106" s="534"/>
      <c r="J106" s="419"/>
      <c r="K106" s="419">
        <f t="shared" si="1"/>
        <v>20000000</v>
      </c>
    </row>
    <row r="107" spans="1:11" s="311" customFormat="1" ht="28.5">
      <c r="A107" s="523"/>
      <c r="B107" s="524"/>
      <c r="C107" s="532"/>
      <c r="D107" s="524"/>
      <c r="E107" s="535"/>
      <c r="F107" s="476"/>
      <c r="G107" s="554" t="s">
        <v>435</v>
      </c>
      <c r="H107" s="537"/>
      <c r="I107" s="537"/>
      <c r="J107" s="537"/>
      <c r="K107" s="419">
        <f t="shared" si="1"/>
        <v>0</v>
      </c>
    </row>
    <row r="108" spans="1:11" s="311" customFormat="1" ht="15">
      <c r="A108" s="523"/>
      <c r="B108" s="524"/>
      <c r="C108" s="532"/>
      <c r="D108" s="524"/>
      <c r="E108" s="524"/>
      <c r="F108" s="538" t="s">
        <v>87</v>
      </c>
      <c r="G108" s="539" t="s">
        <v>88</v>
      </c>
      <c r="H108" s="527"/>
      <c r="I108" s="527"/>
      <c r="J108" s="527"/>
      <c r="K108" s="419">
        <f t="shared" si="1"/>
        <v>0</v>
      </c>
    </row>
    <row r="109" spans="1:11" s="311" customFormat="1" ht="15">
      <c r="A109" s="523"/>
      <c r="B109" s="524"/>
      <c r="C109" s="532"/>
      <c r="D109" s="524"/>
      <c r="E109" s="524"/>
      <c r="F109" s="526"/>
      <c r="G109" s="540" t="s">
        <v>436</v>
      </c>
      <c r="H109" s="541">
        <f>SUM(H104:H106)</f>
        <v>30200000</v>
      </c>
      <c r="I109" s="541">
        <f>SUM(I104:I106)</f>
        <v>0</v>
      </c>
      <c r="J109" s="541">
        <f>SUM(J104:J106)</f>
        <v>0</v>
      </c>
      <c r="K109" s="419">
        <f t="shared" si="1"/>
        <v>30200000</v>
      </c>
    </row>
    <row r="110" spans="1:11" s="311" customFormat="1" ht="42.75">
      <c r="A110" s="523"/>
      <c r="B110" s="524"/>
      <c r="C110" s="532"/>
      <c r="D110" s="524"/>
      <c r="E110" s="535"/>
      <c r="F110" s="476"/>
      <c r="G110" s="554" t="s">
        <v>269</v>
      </c>
      <c r="H110" s="537"/>
      <c r="I110" s="537"/>
      <c r="J110" s="537"/>
      <c r="K110" s="419">
        <f t="shared" si="1"/>
        <v>0</v>
      </c>
    </row>
    <row r="111" spans="1:11" s="311" customFormat="1" ht="15">
      <c r="A111" s="523"/>
      <c r="B111" s="524"/>
      <c r="C111" s="532"/>
      <c r="D111" s="524"/>
      <c r="E111" s="524"/>
      <c r="F111" s="538" t="s">
        <v>87</v>
      </c>
      <c r="G111" s="539" t="s">
        <v>88</v>
      </c>
      <c r="H111" s="527"/>
      <c r="I111" s="527"/>
      <c r="J111" s="527"/>
      <c r="K111" s="419">
        <f t="shared" si="1"/>
        <v>0</v>
      </c>
    </row>
    <row r="112" spans="1:11" s="311" customFormat="1" ht="28.5">
      <c r="A112" s="523"/>
      <c r="B112" s="524"/>
      <c r="C112" s="532"/>
      <c r="D112" s="524"/>
      <c r="E112" s="524"/>
      <c r="F112" s="526"/>
      <c r="G112" s="540" t="s">
        <v>455</v>
      </c>
      <c r="H112" s="541">
        <f>H109</f>
        <v>30200000</v>
      </c>
      <c r="I112" s="541">
        <f>I109</f>
        <v>0</v>
      </c>
      <c r="J112" s="541">
        <f>J109</f>
        <v>0</v>
      </c>
      <c r="K112" s="419">
        <f t="shared" si="1"/>
        <v>30200000</v>
      </c>
    </row>
    <row r="113" spans="1:11" s="311" customFormat="1" ht="28.5" customHeight="1">
      <c r="A113" s="523"/>
      <c r="B113" s="524"/>
      <c r="C113" s="532"/>
      <c r="D113" s="524">
        <v>130</v>
      </c>
      <c r="E113" s="524"/>
      <c r="F113" s="526"/>
      <c r="G113" s="872" t="s">
        <v>761</v>
      </c>
      <c r="H113" s="872"/>
      <c r="I113" s="802"/>
      <c r="J113" s="802"/>
      <c r="K113" s="419">
        <f t="shared" si="1"/>
        <v>0</v>
      </c>
    </row>
    <row r="114" spans="1:11" s="311" customFormat="1" ht="28.5" customHeight="1">
      <c r="A114" s="523"/>
      <c r="B114" s="524"/>
      <c r="C114" s="532"/>
      <c r="D114" s="524"/>
      <c r="E114" s="524"/>
      <c r="F114" s="526"/>
      <c r="G114" s="802" t="s">
        <v>771</v>
      </c>
      <c r="H114" s="802"/>
      <c r="I114" s="802"/>
      <c r="J114" s="802"/>
      <c r="K114" s="419">
        <f t="shared" si="1"/>
        <v>0</v>
      </c>
    </row>
    <row r="115" spans="1:11" s="311" customFormat="1" ht="15">
      <c r="A115" s="523"/>
      <c r="B115" s="524"/>
      <c r="C115" s="532"/>
      <c r="D115" s="524"/>
      <c r="E115" s="524">
        <v>42</v>
      </c>
      <c r="F115" s="572" t="s">
        <v>298</v>
      </c>
      <c r="G115" s="573" t="s">
        <v>299</v>
      </c>
      <c r="H115" s="534">
        <v>500000</v>
      </c>
      <c r="I115" s="534"/>
      <c r="J115" s="419"/>
      <c r="K115" s="419">
        <f t="shared" si="1"/>
        <v>500000</v>
      </c>
    </row>
    <row r="116" spans="1:11" s="311" customFormat="1" ht="25.5">
      <c r="A116" s="523"/>
      <c r="B116" s="524"/>
      <c r="C116" s="532"/>
      <c r="D116" s="524"/>
      <c r="E116" s="524">
        <v>43</v>
      </c>
      <c r="F116" s="574">
        <v>425</v>
      </c>
      <c r="G116" s="575" t="s">
        <v>231</v>
      </c>
      <c r="H116" s="534">
        <v>1000000</v>
      </c>
      <c r="I116" s="534"/>
      <c r="J116" s="419"/>
      <c r="K116" s="419">
        <f t="shared" si="1"/>
        <v>1000000</v>
      </c>
    </row>
    <row r="117" spans="1:11" s="311" customFormat="1" ht="15">
      <c r="A117" s="523"/>
      <c r="B117" s="524"/>
      <c r="C117" s="532"/>
      <c r="D117" s="524"/>
      <c r="E117" s="524">
        <v>44</v>
      </c>
      <c r="F117" s="574">
        <v>426</v>
      </c>
      <c r="G117" s="575" t="s">
        <v>307</v>
      </c>
      <c r="H117" s="534">
        <v>1500000</v>
      </c>
      <c r="I117" s="534"/>
      <c r="J117" s="419"/>
      <c r="K117" s="419">
        <f t="shared" si="1"/>
        <v>1500000</v>
      </c>
    </row>
    <row r="118" spans="1:11" s="311" customFormat="1" ht="15">
      <c r="A118" s="523"/>
      <c r="B118" s="524"/>
      <c r="C118" s="532"/>
      <c r="D118" s="524"/>
      <c r="E118" s="524"/>
      <c r="F118" s="538" t="s">
        <v>87</v>
      </c>
      <c r="G118" s="539" t="s">
        <v>88</v>
      </c>
      <c r="H118" s="527"/>
      <c r="I118" s="527"/>
      <c r="J118" s="527"/>
      <c r="K118" s="419">
        <f t="shared" si="1"/>
        <v>0</v>
      </c>
    </row>
    <row r="119" spans="1:11" s="311" customFormat="1" ht="28.5">
      <c r="A119" s="523"/>
      <c r="B119" s="524"/>
      <c r="C119" s="532"/>
      <c r="D119" s="524"/>
      <c r="E119" s="524"/>
      <c r="F119" s="526"/>
      <c r="G119" s="540" t="s">
        <v>764</v>
      </c>
      <c r="H119" s="541">
        <f>H115+H116+H117</f>
        <v>3000000</v>
      </c>
      <c r="I119" s="541">
        <f>I115+I116+I117</f>
        <v>0</v>
      </c>
      <c r="J119" s="541">
        <f>J115+J116+J117</f>
        <v>0</v>
      </c>
      <c r="K119" s="419">
        <f t="shared" si="1"/>
        <v>3000000</v>
      </c>
    </row>
    <row r="120" spans="1:11" s="311" customFormat="1" ht="28.5">
      <c r="A120" s="523"/>
      <c r="B120" s="524"/>
      <c r="C120" s="532"/>
      <c r="D120" s="524"/>
      <c r="E120" s="524"/>
      <c r="F120" s="526"/>
      <c r="G120" s="540" t="s">
        <v>609</v>
      </c>
      <c r="H120" s="541">
        <f>SUM(H119+H112+H101+H92+H88+H63+H22)</f>
        <v>190146000</v>
      </c>
      <c r="I120" s="541">
        <f>SUM(I119+I112+I101+I92+I88+I63+I22)</f>
        <v>0</v>
      </c>
      <c r="J120" s="541">
        <f>SUM(J119+J112+J101+J92+J88+J63+J22)</f>
        <v>0</v>
      </c>
      <c r="K120" s="419">
        <f t="shared" si="1"/>
        <v>190146000</v>
      </c>
    </row>
    <row r="121" spans="1:11" s="311" customFormat="1" ht="18.75">
      <c r="A121" s="576"/>
      <c r="B121" s="577"/>
      <c r="C121" s="563" t="s">
        <v>397</v>
      </c>
      <c r="D121" s="524"/>
      <c r="E121" s="524"/>
      <c r="F121" s="526"/>
      <c r="G121" s="570" t="s">
        <v>876</v>
      </c>
      <c r="H121" s="527"/>
      <c r="I121" s="527"/>
      <c r="J121" s="527"/>
      <c r="K121" s="419">
        <f t="shared" si="1"/>
        <v>0</v>
      </c>
    </row>
    <row r="122" spans="1:11" s="311" customFormat="1" ht="15">
      <c r="A122" s="576"/>
      <c r="B122" s="577"/>
      <c r="C122" s="569" t="s">
        <v>356</v>
      </c>
      <c r="D122" s="809"/>
      <c r="E122" s="809"/>
      <c r="F122" s="578"/>
      <c r="G122" s="579" t="s">
        <v>877</v>
      </c>
      <c r="H122" s="527"/>
      <c r="I122" s="527"/>
      <c r="J122" s="527"/>
      <c r="K122" s="419">
        <f t="shared" si="1"/>
        <v>0</v>
      </c>
    </row>
    <row r="123" spans="1:11" s="311" customFormat="1" ht="15">
      <c r="A123" s="576"/>
      <c r="B123" s="577"/>
      <c r="C123" s="563"/>
      <c r="D123" s="529">
        <v>620</v>
      </c>
      <c r="E123" s="529"/>
      <c r="F123" s="530"/>
      <c r="G123" s="580" t="s">
        <v>77</v>
      </c>
      <c r="H123" s="527"/>
      <c r="I123" s="527"/>
      <c r="J123" s="527"/>
      <c r="K123" s="419">
        <f t="shared" si="1"/>
        <v>0</v>
      </c>
    </row>
    <row r="124" spans="1:11" s="311" customFormat="1" ht="15">
      <c r="A124" s="576"/>
      <c r="B124" s="577"/>
      <c r="C124" s="559"/>
      <c r="D124" s="560"/>
      <c r="E124" s="564">
        <v>45</v>
      </c>
      <c r="F124" s="476">
        <v>423</v>
      </c>
      <c r="G124" s="533" t="s">
        <v>301</v>
      </c>
      <c r="H124" s="534">
        <v>100000</v>
      </c>
      <c r="I124" s="534"/>
      <c r="J124" s="419"/>
      <c r="K124" s="419">
        <f t="shared" si="1"/>
        <v>100000</v>
      </c>
    </row>
    <row r="125" spans="1:11" s="311" customFormat="1" ht="15">
      <c r="A125" s="576"/>
      <c r="B125" s="577"/>
      <c r="C125" s="559"/>
      <c r="D125" s="560"/>
      <c r="E125" s="564">
        <v>46</v>
      </c>
      <c r="F125" s="476">
        <v>424</v>
      </c>
      <c r="G125" s="533" t="s">
        <v>303</v>
      </c>
      <c r="H125" s="534">
        <v>100000</v>
      </c>
      <c r="I125" s="534"/>
      <c r="J125" s="419"/>
      <c r="K125" s="419">
        <f t="shared" si="1"/>
        <v>100000</v>
      </c>
    </row>
    <row r="126" spans="1:11" s="311" customFormat="1" ht="38.25" customHeight="1">
      <c r="A126" s="576"/>
      <c r="B126" s="577"/>
      <c r="C126" s="559"/>
      <c r="D126" s="560"/>
      <c r="E126" s="564">
        <v>47</v>
      </c>
      <c r="F126" s="476">
        <v>511</v>
      </c>
      <c r="G126" s="533" t="s">
        <v>0</v>
      </c>
      <c r="H126" s="534">
        <v>3000000</v>
      </c>
      <c r="I126" s="534"/>
      <c r="J126" s="419"/>
      <c r="K126" s="419">
        <f t="shared" si="1"/>
        <v>3000000</v>
      </c>
    </row>
    <row r="127" spans="1:11" s="311" customFormat="1" ht="28.5">
      <c r="A127" s="523"/>
      <c r="B127" s="524"/>
      <c r="C127" s="532"/>
      <c r="D127" s="524"/>
      <c r="E127" s="535"/>
      <c r="F127" s="476"/>
      <c r="G127" s="536" t="s">
        <v>349</v>
      </c>
      <c r="H127" s="537"/>
      <c r="I127" s="537"/>
      <c r="J127" s="537"/>
      <c r="K127" s="419">
        <f t="shared" si="1"/>
        <v>0</v>
      </c>
    </row>
    <row r="128" spans="1:11" s="311" customFormat="1" ht="15">
      <c r="A128" s="523"/>
      <c r="B128" s="524"/>
      <c r="C128" s="532"/>
      <c r="D128" s="524"/>
      <c r="E128" s="524"/>
      <c r="F128" s="538" t="s">
        <v>87</v>
      </c>
      <c r="G128" s="539" t="s">
        <v>88</v>
      </c>
      <c r="H128" s="527"/>
      <c r="I128" s="527"/>
      <c r="J128" s="527"/>
      <c r="K128" s="419">
        <f t="shared" si="1"/>
        <v>0</v>
      </c>
    </row>
    <row r="129" spans="1:11" s="311" customFormat="1" ht="15">
      <c r="A129" s="523"/>
      <c r="B129" s="524"/>
      <c r="C129" s="532"/>
      <c r="D129" s="524"/>
      <c r="E129" s="524"/>
      <c r="F129" s="526"/>
      <c r="G129" s="540" t="s">
        <v>350</v>
      </c>
      <c r="H129" s="541">
        <f>SUM(H124:H126)</f>
        <v>3200000</v>
      </c>
      <c r="I129" s="541">
        <f>SUM(I124:I126)</f>
        <v>0</v>
      </c>
      <c r="J129" s="541">
        <f>SUM(J124:J126)</f>
        <v>0</v>
      </c>
      <c r="K129" s="419">
        <f t="shared" si="1"/>
        <v>3200000</v>
      </c>
    </row>
    <row r="130" spans="1:11" s="311" customFormat="1" ht="42.75" collapsed="1">
      <c r="A130" s="523"/>
      <c r="B130" s="524"/>
      <c r="C130" s="532"/>
      <c r="D130" s="524"/>
      <c r="E130" s="535"/>
      <c r="F130" s="476"/>
      <c r="G130" s="554" t="s">
        <v>351</v>
      </c>
      <c r="H130" s="537"/>
      <c r="I130" s="537"/>
      <c r="J130" s="537"/>
      <c r="K130" s="419">
        <f t="shared" si="1"/>
        <v>0</v>
      </c>
    </row>
    <row r="131" spans="1:11" s="311" customFormat="1" ht="15">
      <c r="A131" s="523"/>
      <c r="B131" s="524"/>
      <c r="C131" s="532"/>
      <c r="D131" s="524"/>
      <c r="E131" s="524"/>
      <c r="F131" s="538" t="s">
        <v>87</v>
      </c>
      <c r="G131" s="539" t="s">
        <v>88</v>
      </c>
      <c r="H131" s="527"/>
      <c r="I131" s="527"/>
      <c r="J131" s="527"/>
      <c r="K131" s="419">
        <f t="shared" si="1"/>
        <v>0</v>
      </c>
    </row>
    <row r="132" spans="1:11" s="311" customFormat="1" ht="28.5" collapsed="1">
      <c r="A132" s="523"/>
      <c r="B132" s="524"/>
      <c r="C132" s="532"/>
      <c r="D132" s="524"/>
      <c r="E132" s="524"/>
      <c r="F132" s="526"/>
      <c r="G132" s="540" t="s">
        <v>385</v>
      </c>
      <c r="H132" s="541">
        <f>H129</f>
        <v>3200000</v>
      </c>
      <c r="I132" s="541">
        <f>I129</f>
        <v>0</v>
      </c>
      <c r="J132" s="541">
        <f>J129</f>
        <v>0</v>
      </c>
      <c r="K132" s="419">
        <f t="shared" si="1"/>
        <v>3200000</v>
      </c>
    </row>
    <row r="133" spans="1:11" s="311" customFormat="1" ht="24" customHeight="1">
      <c r="A133" s="576"/>
      <c r="B133" s="577"/>
      <c r="C133" s="569" t="s">
        <v>611</v>
      </c>
      <c r="D133" s="809"/>
      <c r="E133" s="809"/>
      <c r="F133" s="578"/>
      <c r="G133" s="579" t="s">
        <v>878</v>
      </c>
      <c r="H133" s="541"/>
      <c r="I133" s="541"/>
      <c r="J133" s="541"/>
      <c r="K133" s="419">
        <f t="shared" si="1"/>
        <v>0</v>
      </c>
    </row>
    <row r="134" spans="1:11" s="311" customFormat="1" ht="15">
      <c r="A134" s="576"/>
      <c r="B134" s="577"/>
      <c r="C134" s="559"/>
      <c r="D134" s="560"/>
      <c r="E134" s="564">
        <v>48</v>
      </c>
      <c r="F134" s="476">
        <v>423</v>
      </c>
      <c r="G134" s="533" t="s">
        <v>301</v>
      </c>
      <c r="H134" s="534">
        <v>0</v>
      </c>
      <c r="I134" s="534"/>
      <c r="J134" s="419"/>
      <c r="K134" s="419">
        <f t="shared" si="1"/>
        <v>0</v>
      </c>
    </row>
    <row r="135" spans="1:11" s="311" customFormat="1" ht="15">
      <c r="A135" s="576"/>
      <c r="B135" s="577"/>
      <c r="C135" s="559"/>
      <c r="D135" s="560"/>
      <c r="E135" s="564">
        <v>49</v>
      </c>
      <c r="F135" s="476">
        <v>424</v>
      </c>
      <c r="G135" s="533" t="s">
        <v>303</v>
      </c>
      <c r="H135" s="534">
        <v>0</v>
      </c>
      <c r="I135" s="534"/>
      <c r="J135" s="419"/>
      <c r="K135" s="419">
        <f t="shared" si="1"/>
        <v>0</v>
      </c>
    </row>
    <row r="136" spans="1:11" s="311" customFormat="1" ht="30">
      <c r="A136" s="576"/>
      <c r="B136" s="577"/>
      <c r="C136" s="559"/>
      <c r="D136" s="560"/>
      <c r="E136" s="564">
        <v>50</v>
      </c>
      <c r="F136" s="476">
        <v>511</v>
      </c>
      <c r="G136" s="533" t="s">
        <v>237</v>
      </c>
      <c r="H136" s="534">
        <v>1000000</v>
      </c>
      <c r="I136" s="534"/>
      <c r="J136" s="419"/>
      <c r="K136" s="419">
        <f aca="true" t="shared" si="2" ref="K136:K199">SUM(H136:J136)</f>
        <v>1000000</v>
      </c>
    </row>
    <row r="137" spans="1:11" s="311" customFormat="1" ht="28.5">
      <c r="A137" s="523"/>
      <c r="B137" s="524"/>
      <c r="C137" s="532"/>
      <c r="D137" s="524"/>
      <c r="E137" s="535"/>
      <c r="F137" s="476"/>
      <c r="G137" s="536" t="s">
        <v>349</v>
      </c>
      <c r="H137" s="551"/>
      <c r="I137" s="537"/>
      <c r="J137" s="537"/>
      <c r="K137" s="419">
        <f t="shared" si="2"/>
        <v>0</v>
      </c>
    </row>
    <row r="138" spans="1:11" s="311" customFormat="1" ht="15">
      <c r="A138" s="523"/>
      <c r="B138" s="524"/>
      <c r="C138" s="532"/>
      <c r="D138" s="524"/>
      <c r="E138" s="524"/>
      <c r="F138" s="538" t="s">
        <v>87</v>
      </c>
      <c r="G138" s="539" t="s">
        <v>88</v>
      </c>
      <c r="H138" s="527"/>
      <c r="I138" s="527"/>
      <c r="J138" s="527"/>
      <c r="K138" s="419">
        <f t="shared" si="2"/>
        <v>0</v>
      </c>
    </row>
    <row r="139" spans="1:11" s="311" customFormat="1" ht="15">
      <c r="A139" s="523"/>
      <c r="B139" s="524"/>
      <c r="C139" s="532"/>
      <c r="D139" s="524"/>
      <c r="E139" s="524"/>
      <c r="F139" s="526"/>
      <c r="G139" s="540" t="s">
        <v>350</v>
      </c>
      <c r="H139" s="541">
        <f>SUM(H134:H136)</f>
        <v>1000000</v>
      </c>
      <c r="I139" s="541">
        <f>SUM(I134:I136)</f>
        <v>0</v>
      </c>
      <c r="J139" s="541">
        <f>SUM(J134:J136)</f>
        <v>0</v>
      </c>
      <c r="K139" s="419">
        <f t="shared" si="2"/>
        <v>1000000</v>
      </c>
    </row>
    <row r="140" spans="1:11" s="311" customFormat="1" ht="42.75" collapsed="1">
      <c r="A140" s="523"/>
      <c r="B140" s="524"/>
      <c r="C140" s="532"/>
      <c r="D140" s="524"/>
      <c r="E140" s="535"/>
      <c r="F140" s="476"/>
      <c r="G140" s="554" t="s">
        <v>612</v>
      </c>
      <c r="H140" s="537"/>
      <c r="I140" s="537"/>
      <c r="J140" s="537"/>
      <c r="K140" s="419">
        <f t="shared" si="2"/>
        <v>0</v>
      </c>
    </row>
    <row r="141" spans="1:11" s="311" customFormat="1" ht="15">
      <c r="A141" s="523"/>
      <c r="B141" s="524"/>
      <c r="C141" s="532"/>
      <c r="D141" s="524"/>
      <c r="E141" s="524"/>
      <c r="F141" s="538" t="s">
        <v>87</v>
      </c>
      <c r="G141" s="539" t="s">
        <v>88</v>
      </c>
      <c r="H141" s="527"/>
      <c r="I141" s="527"/>
      <c r="J141" s="527"/>
      <c r="K141" s="419">
        <f t="shared" si="2"/>
        <v>0</v>
      </c>
    </row>
    <row r="142" spans="1:11" s="311" customFormat="1" ht="28.5" collapsed="1">
      <c r="A142" s="523"/>
      <c r="B142" s="524"/>
      <c r="C142" s="532"/>
      <c r="D142" s="524"/>
      <c r="E142" s="524"/>
      <c r="F142" s="526"/>
      <c r="G142" s="540" t="s">
        <v>619</v>
      </c>
      <c r="H142" s="541">
        <f>H139</f>
        <v>1000000</v>
      </c>
      <c r="I142" s="541">
        <f>I139</f>
        <v>0</v>
      </c>
      <c r="J142" s="541">
        <f>J139</f>
        <v>0</v>
      </c>
      <c r="K142" s="419">
        <f t="shared" si="2"/>
        <v>1000000</v>
      </c>
    </row>
    <row r="143" spans="1:11" s="311" customFormat="1" ht="15">
      <c r="A143" s="576"/>
      <c r="B143" s="577"/>
      <c r="C143" s="559"/>
      <c r="D143" s="560"/>
      <c r="E143" s="560"/>
      <c r="F143" s="526"/>
      <c r="G143" s="540" t="s">
        <v>457</v>
      </c>
      <c r="H143" s="541">
        <f>SUM(H142+H132)</f>
        <v>4200000</v>
      </c>
      <c r="I143" s="541">
        <f>SUM(I142+I132)</f>
        <v>0</v>
      </c>
      <c r="J143" s="541">
        <f>SUM(J142+J132)</f>
        <v>0</v>
      </c>
      <c r="K143" s="419">
        <f t="shared" si="2"/>
        <v>4200000</v>
      </c>
    </row>
    <row r="144" spans="1:11" s="311" customFormat="1" ht="15">
      <c r="A144" s="576"/>
      <c r="B144" s="577"/>
      <c r="C144" s="559"/>
      <c r="D144" s="560"/>
      <c r="E144" s="560"/>
      <c r="F144" s="561"/>
      <c r="G144" s="540"/>
      <c r="H144" s="541"/>
      <c r="I144" s="541"/>
      <c r="J144" s="541"/>
      <c r="K144" s="419">
        <f t="shared" si="2"/>
        <v>0</v>
      </c>
    </row>
    <row r="145" spans="1:11" s="311" customFormat="1" ht="15">
      <c r="A145" s="523"/>
      <c r="B145" s="524"/>
      <c r="C145" s="525" t="s">
        <v>630</v>
      </c>
      <c r="D145" s="524"/>
      <c r="E145" s="524"/>
      <c r="F145" s="526"/>
      <c r="G145" s="581" t="s">
        <v>337</v>
      </c>
      <c r="H145" s="527"/>
      <c r="I145" s="527"/>
      <c r="J145" s="527"/>
      <c r="K145" s="419">
        <f t="shared" si="2"/>
        <v>0</v>
      </c>
    </row>
    <row r="146" spans="1:11" s="311" customFormat="1" ht="15">
      <c r="A146" s="576"/>
      <c r="B146" s="577"/>
      <c r="C146" s="569" t="s">
        <v>638</v>
      </c>
      <c r="D146" s="809"/>
      <c r="E146" s="809"/>
      <c r="F146" s="578"/>
      <c r="G146" s="579" t="s">
        <v>637</v>
      </c>
      <c r="H146" s="527"/>
      <c r="I146" s="527"/>
      <c r="J146" s="527"/>
      <c r="K146" s="419">
        <f t="shared" si="2"/>
        <v>0</v>
      </c>
    </row>
    <row r="147" spans="1:11" s="311" customFormat="1" ht="15">
      <c r="A147" s="523"/>
      <c r="B147" s="524"/>
      <c r="C147" s="525"/>
      <c r="D147" s="529">
        <v>640</v>
      </c>
      <c r="E147" s="529"/>
      <c r="F147" s="530"/>
      <c r="G147" s="531" t="s">
        <v>79</v>
      </c>
      <c r="H147" s="527"/>
      <c r="I147" s="527"/>
      <c r="J147" s="527"/>
      <c r="K147" s="419">
        <f t="shared" si="2"/>
        <v>0</v>
      </c>
    </row>
    <row r="148" spans="1:11" s="311" customFormat="1" ht="15">
      <c r="A148" s="523"/>
      <c r="B148" s="524"/>
      <c r="C148" s="525"/>
      <c r="D148" s="529"/>
      <c r="E148" s="524">
        <v>51</v>
      </c>
      <c r="F148" s="526">
        <v>421</v>
      </c>
      <c r="G148" s="582" t="s">
        <v>769</v>
      </c>
      <c r="H148" s="534">
        <v>17000000</v>
      </c>
      <c r="I148" s="534"/>
      <c r="J148" s="419"/>
      <c r="K148" s="419">
        <f t="shared" si="2"/>
        <v>17000000</v>
      </c>
    </row>
    <row r="149" spans="1:11" s="311" customFormat="1" ht="30">
      <c r="A149" s="523"/>
      <c r="B149" s="524"/>
      <c r="C149" s="532"/>
      <c r="D149" s="524"/>
      <c r="E149" s="524">
        <v>52</v>
      </c>
      <c r="F149" s="476">
        <v>425</v>
      </c>
      <c r="G149" s="533" t="s">
        <v>231</v>
      </c>
      <c r="H149" s="534">
        <v>1000000</v>
      </c>
      <c r="I149" s="534"/>
      <c r="J149" s="419"/>
      <c r="K149" s="419">
        <f t="shared" si="2"/>
        <v>1000000</v>
      </c>
    </row>
    <row r="150" spans="1:11" s="311" customFormat="1" ht="30">
      <c r="A150" s="523"/>
      <c r="B150" s="524"/>
      <c r="C150" s="532"/>
      <c r="D150" s="524"/>
      <c r="E150" s="524">
        <v>53</v>
      </c>
      <c r="F150" s="476">
        <v>425</v>
      </c>
      <c r="G150" s="533" t="s">
        <v>237</v>
      </c>
      <c r="H150" s="534">
        <v>10000000</v>
      </c>
      <c r="I150" s="534"/>
      <c r="J150" s="419"/>
      <c r="K150" s="419">
        <f t="shared" si="2"/>
        <v>10000000</v>
      </c>
    </row>
    <row r="151" spans="1:11" s="311" customFormat="1" ht="28.5">
      <c r="A151" s="523"/>
      <c r="B151" s="524"/>
      <c r="C151" s="532"/>
      <c r="D151" s="524"/>
      <c r="E151" s="535"/>
      <c r="F151" s="476"/>
      <c r="G151" s="536" t="s">
        <v>451</v>
      </c>
      <c r="H151" s="537"/>
      <c r="I151" s="537"/>
      <c r="J151" s="537"/>
      <c r="K151" s="419">
        <f t="shared" si="2"/>
        <v>0</v>
      </c>
    </row>
    <row r="152" spans="1:11" s="311" customFormat="1" ht="15">
      <c r="A152" s="523"/>
      <c r="B152" s="524"/>
      <c r="C152" s="532"/>
      <c r="D152" s="524"/>
      <c r="E152" s="524"/>
      <c r="F152" s="538" t="s">
        <v>87</v>
      </c>
      <c r="G152" s="539" t="s">
        <v>88</v>
      </c>
      <c r="H152" s="527"/>
      <c r="I152" s="527"/>
      <c r="J152" s="527"/>
      <c r="K152" s="419">
        <f t="shared" si="2"/>
        <v>0</v>
      </c>
    </row>
    <row r="153" spans="1:11" s="311" customFormat="1" ht="15">
      <c r="A153" s="523"/>
      <c r="B153" s="524"/>
      <c r="C153" s="532"/>
      <c r="D153" s="524"/>
      <c r="E153" s="524"/>
      <c r="F153" s="526"/>
      <c r="G153" s="540" t="s">
        <v>452</v>
      </c>
      <c r="H153" s="541">
        <f>SUM(H148:H150)</f>
        <v>28000000</v>
      </c>
      <c r="I153" s="541">
        <f>SUM(I148:I150)</f>
        <v>0</v>
      </c>
      <c r="J153" s="541">
        <f>SUM(J148:J150)</f>
        <v>0</v>
      </c>
      <c r="K153" s="419">
        <f t="shared" si="2"/>
        <v>28000000</v>
      </c>
    </row>
    <row r="154" spans="1:11" s="311" customFormat="1" ht="42.75">
      <c r="A154" s="523"/>
      <c r="B154" s="524"/>
      <c r="C154" s="532"/>
      <c r="D154" s="524"/>
      <c r="E154" s="535"/>
      <c r="F154" s="476"/>
      <c r="G154" s="554" t="s">
        <v>453</v>
      </c>
      <c r="H154" s="537"/>
      <c r="I154" s="537"/>
      <c r="J154" s="537"/>
      <c r="K154" s="419">
        <f t="shared" si="2"/>
        <v>0</v>
      </c>
    </row>
    <row r="155" spans="1:11" s="311" customFormat="1" ht="28.5">
      <c r="A155" s="523"/>
      <c r="B155" s="524"/>
      <c r="C155" s="532"/>
      <c r="D155" s="524"/>
      <c r="E155" s="524"/>
      <c r="F155" s="526"/>
      <c r="G155" s="540" t="s">
        <v>640</v>
      </c>
      <c r="H155" s="541">
        <f>SUM(H148:H150)</f>
        <v>28000000</v>
      </c>
      <c r="I155" s="541">
        <f>SUM(I148:I150)</f>
        <v>0</v>
      </c>
      <c r="J155" s="541">
        <f>SUM(J148:J150)</f>
        <v>0</v>
      </c>
      <c r="K155" s="419">
        <f t="shared" si="2"/>
        <v>28000000</v>
      </c>
    </row>
    <row r="156" spans="1:11" s="311" customFormat="1" ht="15">
      <c r="A156" s="523"/>
      <c r="B156" s="524"/>
      <c r="C156" s="532"/>
      <c r="D156" s="524"/>
      <c r="E156" s="524"/>
      <c r="F156" s="526"/>
      <c r="G156" s="583"/>
      <c r="H156" s="527"/>
      <c r="I156" s="527"/>
      <c r="J156" s="527"/>
      <c r="K156" s="419">
        <f t="shared" si="2"/>
        <v>0</v>
      </c>
    </row>
    <row r="157" spans="1:11" s="311" customFormat="1" ht="15">
      <c r="A157" s="576"/>
      <c r="B157" s="577"/>
      <c r="C157" s="569" t="s">
        <v>639</v>
      </c>
      <c r="D157" s="809"/>
      <c r="E157" s="809"/>
      <c r="F157" s="578"/>
      <c r="G157" s="579" t="s">
        <v>641</v>
      </c>
      <c r="H157" s="527"/>
      <c r="I157" s="527"/>
      <c r="J157" s="527"/>
      <c r="K157" s="419">
        <f t="shared" si="2"/>
        <v>0</v>
      </c>
    </row>
    <row r="158" spans="1:11" s="311" customFormat="1" ht="45">
      <c r="A158" s="523"/>
      <c r="B158" s="524"/>
      <c r="C158" s="525"/>
      <c r="D158" s="529">
        <v>660</v>
      </c>
      <c r="E158" s="529"/>
      <c r="F158" s="530"/>
      <c r="G158" s="531" t="s">
        <v>80</v>
      </c>
      <c r="H158" s="527"/>
      <c r="I158" s="527"/>
      <c r="J158" s="527"/>
      <c r="K158" s="419">
        <f t="shared" si="2"/>
        <v>0</v>
      </c>
    </row>
    <row r="159" spans="1:11" s="311" customFormat="1" ht="45">
      <c r="A159" s="523"/>
      <c r="B159" s="524"/>
      <c r="C159" s="532"/>
      <c r="D159" s="524"/>
      <c r="E159" s="524">
        <v>54</v>
      </c>
      <c r="F159" s="476">
        <v>424</v>
      </c>
      <c r="G159" s="533" t="s">
        <v>642</v>
      </c>
      <c r="H159" s="534">
        <v>10000000</v>
      </c>
      <c r="I159" s="534"/>
      <c r="J159" s="419"/>
      <c r="K159" s="419">
        <f t="shared" si="2"/>
        <v>10000000</v>
      </c>
    </row>
    <row r="160" spans="1:11" s="311" customFormat="1" ht="28.5">
      <c r="A160" s="523"/>
      <c r="B160" s="524"/>
      <c r="C160" s="532"/>
      <c r="D160" s="524"/>
      <c r="E160" s="535"/>
      <c r="F160" s="476"/>
      <c r="G160" s="536" t="s">
        <v>449</v>
      </c>
      <c r="H160" s="537"/>
      <c r="I160" s="537"/>
      <c r="J160" s="537"/>
      <c r="K160" s="419">
        <f t="shared" si="2"/>
        <v>0</v>
      </c>
    </row>
    <row r="161" spans="1:11" s="311" customFormat="1" ht="15">
      <c r="A161" s="523"/>
      <c r="B161" s="524"/>
      <c r="C161" s="532"/>
      <c r="D161" s="524"/>
      <c r="E161" s="524"/>
      <c r="F161" s="538" t="s">
        <v>87</v>
      </c>
      <c r="G161" s="539" t="s">
        <v>88</v>
      </c>
      <c r="H161" s="527"/>
      <c r="I161" s="527"/>
      <c r="J161" s="527"/>
      <c r="K161" s="419">
        <f t="shared" si="2"/>
        <v>0</v>
      </c>
    </row>
    <row r="162" spans="1:11" s="311" customFormat="1" ht="15">
      <c r="A162" s="523"/>
      <c r="B162" s="524"/>
      <c r="C162" s="532"/>
      <c r="D162" s="524"/>
      <c r="E162" s="524"/>
      <c r="F162" s="526"/>
      <c r="G162" s="540" t="s">
        <v>450</v>
      </c>
      <c r="H162" s="541">
        <f>SUM(H159:H159)</f>
        <v>10000000</v>
      </c>
      <c r="I162" s="541">
        <f>SUM(I159:I159)</f>
        <v>0</v>
      </c>
      <c r="J162" s="541">
        <f>SUM(J159:J159)</f>
        <v>0</v>
      </c>
      <c r="K162" s="419">
        <f t="shared" si="2"/>
        <v>10000000</v>
      </c>
    </row>
    <row r="163" spans="1:11" s="311" customFormat="1" ht="42.75">
      <c r="A163" s="523"/>
      <c r="B163" s="524"/>
      <c r="C163" s="532"/>
      <c r="D163" s="524"/>
      <c r="E163" s="535"/>
      <c r="F163" s="476"/>
      <c r="G163" s="554" t="s">
        <v>645</v>
      </c>
      <c r="H163" s="537"/>
      <c r="I163" s="537"/>
      <c r="J163" s="537"/>
      <c r="K163" s="419">
        <f t="shared" si="2"/>
        <v>0</v>
      </c>
    </row>
    <row r="164" spans="1:11" s="311" customFormat="1" ht="15">
      <c r="A164" s="523"/>
      <c r="B164" s="524"/>
      <c r="C164" s="532"/>
      <c r="D164" s="524"/>
      <c r="E164" s="524"/>
      <c r="F164" s="538" t="s">
        <v>87</v>
      </c>
      <c r="G164" s="539" t="s">
        <v>88</v>
      </c>
      <c r="H164" s="527"/>
      <c r="I164" s="527"/>
      <c r="J164" s="527"/>
      <c r="K164" s="419">
        <f t="shared" si="2"/>
        <v>0</v>
      </c>
    </row>
    <row r="165" spans="1:11" s="311" customFormat="1" ht="28.5">
      <c r="A165" s="523"/>
      <c r="B165" s="524"/>
      <c r="C165" s="532"/>
      <c r="D165" s="524"/>
      <c r="E165" s="524"/>
      <c r="F165" s="526"/>
      <c r="G165" s="540" t="s">
        <v>646</v>
      </c>
      <c r="H165" s="541">
        <f>SUM(H159:H159)</f>
        <v>10000000</v>
      </c>
      <c r="I165" s="541">
        <f>SUM(I159:I159)</f>
        <v>0</v>
      </c>
      <c r="J165" s="541">
        <f>SUM(J159:J159)</f>
        <v>0</v>
      </c>
      <c r="K165" s="419">
        <f t="shared" si="2"/>
        <v>10000000</v>
      </c>
    </row>
    <row r="166" spans="1:11" s="311" customFormat="1" ht="15">
      <c r="A166" s="576"/>
      <c r="B166" s="577"/>
      <c r="C166" s="563"/>
      <c r="D166" s="556"/>
      <c r="E166" s="556"/>
      <c r="F166" s="584"/>
      <c r="G166" s="585"/>
      <c r="H166" s="527"/>
      <c r="I166" s="527"/>
      <c r="J166" s="527"/>
      <c r="K166" s="419">
        <f t="shared" si="2"/>
        <v>0</v>
      </c>
    </row>
    <row r="167" spans="1:11" s="311" customFormat="1" ht="15">
      <c r="A167" s="576"/>
      <c r="B167" s="577"/>
      <c r="C167" s="569" t="s">
        <v>648</v>
      </c>
      <c r="D167" s="809"/>
      <c r="E167" s="809"/>
      <c r="F167" s="578"/>
      <c r="G167" s="579" t="s">
        <v>647</v>
      </c>
      <c r="H167" s="527"/>
      <c r="I167" s="527"/>
      <c r="J167" s="527"/>
      <c r="K167" s="419">
        <f t="shared" si="2"/>
        <v>0</v>
      </c>
    </row>
    <row r="168" spans="1:11" s="311" customFormat="1" ht="45">
      <c r="A168" s="576"/>
      <c r="B168" s="577"/>
      <c r="C168" s="563"/>
      <c r="D168" s="529">
        <v>660</v>
      </c>
      <c r="E168" s="529"/>
      <c r="F168" s="530"/>
      <c r="G168" s="531" t="s">
        <v>80</v>
      </c>
      <c r="H168" s="527"/>
      <c r="I168" s="527"/>
      <c r="J168" s="527"/>
      <c r="K168" s="419">
        <f t="shared" si="2"/>
        <v>0</v>
      </c>
    </row>
    <row r="169" spans="1:11" s="311" customFormat="1" ht="60">
      <c r="A169" s="576"/>
      <c r="B169" s="577"/>
      <c r="C169" s="563"/>
      <c r="D169" s="556"/>
      <c r="E169" s="556">
        <v>55</v>
      </c>
      <c r="F169" s="476">
        <v>421</v>
      </c>
      <c r="G169" s="533" t="s">
        <v>778</v>
      </c>
      <c r="H169" s="534">
        <v>19000000</v>
      </c>
      <c r="I169" s="534"/>
      <c r="J169" s="419"/>
      <c r="K169" s="419">
        <f t="shared" si="2"/>
        <v>19000000</v>
      </c>
    </row>
    <row r="170" spans="1:11" s="311" customFormat="1" ht="28.5">
      <c r="A170" s="576"/>
      <c r="B170" s="577"/>
      <c r="C170" s="563"/>
      <c r="D170" s="556"/>
      <c r="E170" s="556"/>
      <c r="F170" s="584"/>
      <c r="G170" s="536" t="s">
        <v>449</v>
      </c>
      <c r="H170" s="537"/>
      <c r="I170" s="537"/>
      <c r="J170" s="537"/>
      <c r="K170" s="419">
        <f t="shared" si="2"/>
        <v>0</v>
      </c>
    </row>
    <row r="171" spans="1:11" s="311" customFormat="1" ht="15">
      <c r="A171" s="576"/>
      <c r="B171" s="577"/>
      <c r="C171" s="563"/>
      <c r="D171" s="556"/>
      <c r="E171" s="556"/>
      <c r="F171" s="538" t="s">
        <v>87</v>
      </c>
      <c r="G171" s="539" t="s">
        <v>88</v>
      </c>
      <c r="H171" s="527"/>
      <c r="I171" s="527"/>
      <c r="J171" s="527"/>
      <c r="K171" s="419">
        <f t="shared" si="2"/>
        <v>0</v>
      </c>
    </row>
    <row r="172" spans="1:11" s="311" customFormat="1" ht="15">
      <c r="A172" s="576"/>
      <c r="B172" s="577"/>
      <c r="C172" s="563"/>
      <c r="D172" s="556"/>
      <c r="E172" s="556"/>
      <c r="F172" s="526"/>
      <c r="G172" s="540" t="s">
        <v>450</v>
      </c>
      <c r="H172" s="541">
        <f>SUM(H169:H169)</f>
        <v>19000000</v>
      </c>
      <c r="I172" s="541">
        <f>SUM(I169:I169)</f>
        <v>0</v>
      </c>
      <c r="J172" s="541">
        <f>SUM(J169:J169)</f>
        <v>0</v>
      </c>
      <c r="K172" s="419">
        <f t="shared" si="2"/>
        <v>19000000</v>
      </c>
    </row>
    <row r="173" spans="1:11" s="311" customFormat="1" ht="42.75">
      <c r="A173" s="576"/>
      <c r="B173" s="577"/>
      <c r="C173" s="563"/>
      <c r="D173" s="556"/>
      <c r="E173" s="556"/>
      <c r="F173" s="476"/>
      <c r="G173" s="554" t="s">
        <v>649</v>
      </c>
      <c r="H173" s="537"/>
      <c r="I173" s="537"/>
      <c r="J173" s="537"/>
      <c r="K173" s="419">
        <f t="shared" si="2"/>
        <v>0</v>
      </c>
    </row>
    <row r="174" spans="1:11" s="311" customFormat="1" ht="15">
      <c r="A174" s="576"/>
      <c r="B174" s="577"/>
      <c r="C174" s="563"/>
      <c r="D174" s="556"/>
      <c r="E174" s="556"/>
      <c r="F174" s="538" t="s">
        <v>87</v>
      </c>
      <c r="G174" s="539" t="s">
        <v>88</v>
      </c>
      <c r="H174" s="527"/>
      <c r="I174" s="527"/>
      <c r="J174" s="527"/>
      <c r="K174" s="419">
        <f t="shared" si="2"/>
        <v>0</v>
      </c>
    </row>
    <row r="175" spans="1:11" s="311" customFormat="1" ht="28.5">
      <c r="A175" s="576"/>
      <c r="B175" s="577"/>
      <c r="C175" s="563"/>
      <c r="D175" s="556"/>
      <c r="E175" s="556"/>
      <c r="F175" s="526"/>
      <c r="G175" s="540" t="s">
        <v>650</v>
      </c>
      <c r="H175" s="541">
        <f>SUM(H169:H169)</f>
        <v>19000000</v>
      </c>
      <c r="I175" s="541">
        <f>SUM(I169:I169)</f>
        <v>0</v>
      </c>
      <c r="J175" s="541">
        <f>SUM(J169:J169)</f>
        <v>0</v>
      </c>
      <c r="K175" s="419">
        <f t="shared" si="2"/>
        <v>19000000</v>
      </c>
    </row>
    <row r="176" spans="1:11" s="311" customFormat="1" ht="27.75" customHeight="1">
      <c r="A176" s="576"/>
      <c r="B176" s="577"/>
      <c r="C176" s="569" t="s">
        <v>651</v>
      </c>
      <c r="D176" s="809"/>
      <c r="E176" s="556"/>
      <c r="F176" s="584"/>
      <c r="G176" s="866" t="s">
        <v>652</v>
      </c>
      <c r="H176" s="866"/>
      <c r="I176" s="540"/>
      <c r="J176" s="540"/>
      <c r="K176" s="419">
        <f t="shared" si="2"/>
        <v>0</v>
      </c>
    </row>
    <row r="177" spans="1:11" s="311" customFormat="1" ht="15">
      <c r="A177" s="576"/>
      <c r="B177" s="577"/>
      <c r="C177" s="563"/>
      <c r="D177" s="586">
        <v>620</v>
      </c>
      <c r="E177" s="556"/>
      <c r="F177" s="584"/>
      <c r="G177" s="531" t="s">
        <v>77</v>
      </c>
      <c r="H177" s="541"/>
      <c r="I177" s="541"/>
      <c r="J177" s="541"/>
      <c r="K177" s="419">
        <f t="shared" si="2"/>
        <v>0</v>
      </c>
    </row>
    <row r="178" spans="1:11" s="311" customFormat="1" ht="45">
      <c r="A178" s="576"/>
      <c r="B178" s="577"/>
      <c r="C178" s="563"/>
      <c r="D178" s="586"/>
      <c r="E178" s="556">
        <v>56</v>
      </c>
      <c r="F178" s="584">
        <v>424</v>
      </c>
      <c r="G178" s="582" t="s">
        <v>653</v>
      </c>
      <c r="H178" s="419">
        <v>0</v>
      </c>
      <c r="I178" s="419"/>
      <c r="J178" s="419"/>
      <c r="K178" s="419">
        <f t="shared" si="2"/>
        <v>0</v>
      </c>
    </row>
    <row r="179" spans="1:11" s="311" customFormat="1" ht="15">
      <c r="A179" s="576"/>
      <c r="B179" s="577"/>
      <c r="C179" s="563"/>
      <c r="D179" s="586"/>
      <c r="E179" s="556"/>
      <c r="F179" s="584"/>
      <c r="G179" s="540" t="s">
        <v>350</v>
      </c>
      <c r="H179" s="541">
        <f>H178</f>
        <v>0</v>
      </c>
      <c r="I179" s="541">
        <f>I178</f>
        <v>0</v>
      </c>
      <c r="J179" s="541">
        <f>J178</f>
        <v>0</v>
      </c>
      <c r="K179" s="419">
        <f t="shared" si="2"/>
        <v>0</v>
      </c>
    </row>
    <row r="180" spans="1:11" s="311" customFormat="1" ht="42.75">
      <c r="A180" s="576"/>
      <c r="B180" s="577"/>
      <c r="C180" s="563"/>
      <c r="D180" s="586"/>
      <c r="E180" s="556"/>
      <c r="F180" s="584"/>
      <c r="G180" s="554" t="s">
        <v>656</v>
      </c>
      <c r="H180" s="537"/>
      <c r="I180" s="537"/>
      <c r="J180" s="537"/>
      <c r="K180" s="419">
        <f t="shared" si="2"/>
        <v>0</v>
      </c>
    </row>
    <row r="181" spans="1:11" s="311" customFormat="1" ht="15">
      <c r="A181" s="576"/>
      <c r="B181" s="577"/>
      <c r="C181" s="563"/>
      <c r="D181" s="586"/>
      <c r="E181" s="556"/>
      <c r="F181" s="584"/>
      <c r="G181" s="539" t="s">
        <v>88</v>
      </c>
      <c r="H181" s="527"/>
      <c r="I181" s="527"/>
      <c r="J181" s="527"/>
      <c r="K181" s="419">
        <f t="shared" si="2"/>
        <v>0</v>
      </c>
    </row>
    <row r="182" spans="1:11" s="311" customFormat="1" ht="28.5">
      <c r="A182" s="576"/>
      <c r="B182" s="577"/>
      <c r="C182" s="563"/>
      <c r="D182" s="586"/>
      <c r="E182" s="556"/>
      <c r="F182" s="584"/>
      <c r="G182" s="540" t="s">
        <v>655</v>
      </c>
      <c r="H182" s="541">
        <f>H179</f>
        <v>0</v>
      </c>
      <c r="I182" s="541">
        <f>I179</f>
        <v>0</v>
      </c>
      <c r="J182" s="541">
        <f>J179</f>
        <v>0</v>
      </c>
      <c r="K182" s="419">
        <f t="shared" si="2"/>
        <v>0</v>
      </c>
    </row>
    <row r="183" spans="1:11" s="311" customFormat="1" ht="33.75" customHeight="1">
      <c r="A183" s="576"/>
      <c r="B183" s="577"/>
      <c r="C183" s="563"/>
      <c r="D183" s="586"/>
      <c r="E183" s="556"/>
      <c r="F183" s="526"/>
      <c r="G183" s="587" t="s">
        <v>265</v>
      </c>
      <c r="H183" s="541"/>
      <c r="I183" s="541"/>
      <c r="J183" s="541"/>
      <c r="K183" s="419">
        <f t="shared" si="2"/>
        <v>0</v>
      </c>
    </row>
    <row r="184" spans="1:11" s="311" customFormat="1" ht="15">
      <c r="A184" s="576"/>
      <c r="B184" s="577"/>
      <c r="C184" s="563"/>
      <c r="D184" s="586"/>
      <c r="E184" s="556">
        <v>57</v>
      </c>
      <c r="F184" s="588">
        <v>424</v>
      </c>
      <c r="G184" s="558" t="s">
        <v>303</v>
      </c>
      <c r="H184" s="534">
        <v>950000</v>
      </c>
      <c r="I184" s="534"/>
      <c r="J184" s="419"/>
      <c r="K184" s="419">
        <f t="shared" si="2"/>
        <v>950000</v>
      </c>
    </row>
    <row r="185" spans="1:11" s="311" customFormat="1" ht="42.75">
      <c r="A185" s="576"/>
      <c r="B185" s="577"/>
      <c r="C185" s="563"/>
      <c r="D185" s="586"/>
      <c r="E185" s="556"/>
      <c r="F185" s="584"/>
      <c r="G185" s="554" t="s">
        <v>654</v>
      </c>
      <c r="H185" s="537"/>
      <c r="I185" s="537"/>
      <c r="J185" s="537"/>
      <c r="K185" s="419">
        <f t="shared" si="2"/>
        <v>0</v>
      </c>
    </row>
    <row r="186" spans="1:11" s="311" customFormat="1" ht="15">
      <c r="A186" s="576"/>
      <c r="B186" s="577"/>
      <c r="C186" s="563"/>
      <c r="D186" s="586"/>
      <c r="E186" s="556"/>
      <c r="F186" s="584"/>
      <c r="G186" s="539" t="s">
        <v>88</v>
      </c>
      <c r="H186" s="527"/>
      <c r="I186" s="527"/>
      <c r="J186" s="527"/>
      <c r="K186" s="419">
        <f t="shared" si="2"/>
        <v>0</v>
      </c>
    </row>
    <row r="187" spans="1:11" s="311" customFormat="1" ht="28.5">
      <c r="A187" s="576"/>
      <c r="B187" s="577"/>
      <c r="C187" s="563"/>
      <c r="D187" s="586"/>
      <c r="E187" s="556"/>
      <c r="F187" s="584"/>
      <c r="G187" s="540" t="s">
        <v>655</v>
      </c>
      <c r="H187" s="541">
        <f>H184</f>
        <v>950000</v>
      </c>
      <c r="I187" s="541">
        <f>I184</f>
        <v>0</v>
      </c>
      <c r="J187" s="541">
        <f>J184</f>
        <v>0</v>
      </c>
      <c r="K187" s="419">
        <f t="shared" si="2"/>
        <v>950000</v>
      </c>
    </row>
    <row r="188" spans="1:11" s="311" customFormat="1" ht="15">
      <c r="A188" s="576"/>
      <c r="B188" s="577"/>
      <c r="C188" s="563"/>
      <c r="D188" s="586"/>
      <c r="E188" s="556"/>
      <c r="F188" s="584"/>
      <c r="G188" s="540" t="s">
        <v>350</v>
      </c>
      <c r="H188" s="541">
        <f>(H182+H187)</f>
        <v>950000</v>
      </c>
      <c r="I188" s="541">
        <f>(I182+I187)</f>
        <v>0</v>
      </c>
      <c r="J188" s="541">
        <f>(J182+J187)</f>
        <v>0</v>
      </c>
      <c r="K188" s="419">
        <f t="shared" si="2"/>
        <v>950000</v>
      </c>
    </row>
    <row r="189" spans="1:11" s="311" customFormat="1" ht="84.75" customHeight="1">
      <c r="A189" s="589"/>
      <c r="B189" s="556"/>
      <c r="C189" s="569" t="s">
        <v>635</v>
      </c>
      <c r="D189" s="809"/>
      <c r="E189" s="556"/>
      <c r="F189" s="584"/>
      <c r="G189" s="540" t="s">
        <v>860</v>
      </c>
      <c r="H189" s="540"/>
      <c r="I189" s="540"/>
      <c r="J189" s="540"/>
      <c r="K189" s="419">
        <f t="shared" si="2"/>
        <v>0</v>
      </c>
    </row>
    <row r="190" spans="1:11" s="311" customFormat="1" ht="15">
      <c r="A190" s="589"/>
      <c r="B190" s="556"/>
      <c r="C190" s="563"/>
      <c r="D190" s="590">
        <v>630</v>
      </c>
      <c r="E190" s="556"/>
      <c r="F190" s="591"/>
      <c r="G190" s="592" t="s">
        <v>78</v>
      </c>
      <c r="H190" s="541"/>
      <c r="I190" s="541"/>
      <c r="J190" s="541"/>
      <c r="K190" s="419">
        <f t="shared" si="2"/>
        <v>0</v>
      </c>
    </row>
    <row r="191" spans="1:11" s="311" customFormat="1" ht="30">
      <c r="A191" s="589"/>
      <c r="B191" s="556"/>
      <c r="C191" s="563"/>
      <c r="D191" s="586"/>
      <c r="E191" s="556">
        <v>58</v>
      </c>
      <c r="F191" s="584">
        <v>425</v>
      </c>
      <c r="G191" s="582" t="s">
        <v>231</v>
      </c>
      <c r="H191" s="534">
        <v>1500000</v>
      </c>
      <c r="I191" s="534"/>
      <c r="J191" s="534"/>
      <c r="K191" s="419">
        <f t="shared" si="2"/>
        <v>1500000</v>
      </c>
    </row>
    <row r="192" spans="1:11" s="311" customFormat="1" ht="30">
      <c r="A192" s="589"/>
      <c r="B192" s="556"/>
      <c r="C192" s="563"/>
      <c r="D192" s="586"/>
      <c r="E192" s="556">
        <v>59</v>
      </c>
      <c r="F192" s="584">
        <v>511</v>
      </c>
      <c r="G192" s="582" t="s">
        <v>237</v>
      </c>
      <c r="H192" s="534">
        <v>1000000</v>
      </c>
      <c r="I192" s="534"/>
      <c r="J192" s="534"/>
      <c r="K192" s="419">
        <f>SUM(H192:J192)</f>
        <v>1000000</v>
      </c>
    </row>
    <row r="193" spans="1:11" s="311" customFormat="1" ht="15">
      <c r="A193" s="589"/>
      <c r="B193" s="556"/>
      <c r="C193" s="563"/>
      <c r="D193" s="586"/>
      <c r="E193" s="556"/>
      <c r="F193" s="584"/>
      <c r="G193" s="540" t="s">
        <v>446</v>
      </c>
      <c r="H193" s="541">
        <f>H191+H192</f>
        <v>2500000</v>
      </c>
      <c r="I193" s="541">
        <f>I191+I192</f>
        <v>0</v>
      </c>
      <c r="J193" s="541">
        <f>J191+J192</f>
        <v>0</v>
      </c>
      <c r="K193" s="419">
        <f t="shared" si="2"/>
        <v>2500000</v>
      </c>
    </row>
    <row r="194" spans="1:11" s="311" customFormat="1" ht="42.75">
      <c r="A194" s="589"/>
      <c r="B194" s="556"/>
      <c r="C194" s="563"/>
      <c r="D194" s="586"/>
      <c r="E194" s="556"/>
      <c r="F194" s="584"/>
      <c r="G194" s="554" t="s">
        <v>661</v>
      </c>
      <c r="H194" s="537"/>
      <c r="I194" s="537"/>
      <c r="J194" s="537"/>
      <c r="K194" s="419">
        <f t="shared" si="2"/>
        <v>0</v>
      </c>
    </row>
    <row r="195" spans="1:11" s="311" customFormat="1" ht="15">
      <c r="A195" s="589"/>
      <c r="B195" s="556"/>
      <c r="C195" s="563"/>
      <c r="D195" s="586"/>
      <c r="E195" s="556"/>
      <c r="F195" s="584"/>
      <c r="G195" s="539" t="s">
        <v>88</v>
      </c>
      <c r="H195" s="527"/>
      <c r="I195" s="527"/>
      <c r="J195" s="527"/>
      <c r="K195" s="419">
        <f t="shared" si="2"/>
        <v>0</v>
      </c>
    </row>
    <row r="196" spans="1:11" s="311" customFormat="1" ht="28.5">
      <c r="A196" s="589"/>
      <c r="B196" s="556"/>
      <c r="C196" s="563"/>
      <c r="D196" s="586"/>
      <c r="E196" s="556"/>
      <c r="F196" s="584"/>
      <c r="G196" s="540" t="s">
        <v>662</v>
      </c>
      <c r="H196" s="541">
        <f>H193</f>
        <v>2500000</v>
      </c>
      <c r="I196" s="541">
        <f>I193</f>
        <v>0</v>
      </c>
      <c r="J196" s="541">
        <f>J193</f>
        <v>0</v>
      </c>
      <c r="K196" s="419">
        <f t="shared" si="2"/>
        <v>2500000</v>
      </c>
    </row>
    <row r="197" spans="1:11" s="311" customFormat="1" ht="15">
      <c r="A197" s="589"/>
      <c r="B197" s="556"/>
      <c r="C197" s="556"/>
      <c r="D197" s="556"/>
      <c r="E197" s="556"/>
      <c r="F197" s="584"/>
      <c r="G197" s="540" t="s">
        <v>338</v>
      </c>
      <c r="H197" s="541">
        <f>SUM(H196+H187+H182+H175+H165+H155)</f>
        <v>60450000</v>
      </c>
      <c r="I197" s="541">
        <f>SUM(I196+I187+I182+I175+I165+I155)</f>
        <v>0</v>
      </c>
      <c r="J197" s="541">
        <f>SUM(J196+J187+J182+J175+J165+J155)</f>
        <v>0</v>
      </c>
      <c r="K197" s="419">
        <f t="shared" si="2"/>
        <v>60450000</v>
      </c>
    </row>
    <row r="198" spans="1:11" s="311" customFormat="1" ht="15">
      <c r="A198" s="576"/>
      <c r="B198" s="577"/>
      <c r="C198" s="559"/>
      <c r="D198" s="560"/>
      <c r="E198" s="560"/>
      <c r="F198" s="561"/>
      <c r="G198" s="540"/>
      <c r="H198" s="541"/>
      <c r="I198" s="541"/>
      <c r="J198" s="541"/>
      <c r="K198" s="419">
        <f t="shared" si="2"/>
        <v>0</v>
      </c>
    </row>
    <row r="199" spans="1:11" s="311" customFormat="1" ht="15">
      <c r="A199" s="576"/>
      <c r="B199" s="577"/>
      <c r="C199" s="563" t="s">
        <v>398</v>
      </c>
      <c r="D199" s="563"/>
      <c r="E199" s="524"/>
      <c r="F199" s="526"/>
      <c r="G199" s="570" t="s">
        <v>364</v>
      </c>
      <c r="H199" s="527"/>
      <c r="I199" s="527"/>
      <c r="J199" s="527"/>
      <c r="K199" s="419">
        <f t="shared" si="2"/>
        <v>0</v>
      </c>
    </row>
    <row r="200" spans="1:11" s="311" customFormat="1" ht="59.25" customHeight="1">
      <c r="A200" s="576"/>
      <c r="B200" s="577"/>
      <c r="C200" s="525" t="s">
        <v>320</v>
      </c>
      <c r="D200" s="809"/>
      <c r="E200" s="524"/>
      <c r="F200" s="526"/>
      <c r="G200" s="865" t="s">
        <v>626</v>
      </c>
      <c r="H200" s="865"/>
      <c r="I200" s="803"/>
      <c r="J200" s="803"/>
      <c r="K200" s="419">
        <f>SUM(H200:J200)</f>
        <v>0</v>
      </c>
    </row>
    <row r="201" spans="1:11" s="311" customFormat="1" ht="21.75" customHeight="1">
      <c r="A201" s="523"/>
      <c r="B201" s="524"/>
      <c r="C201" s="563"/>
      <c r="D201" s="593">
        <v>411</v>
      </c>
      <c r="E201" s="529"/>
      <c r="F201" s="530"/>
      <c r="G201" s="594" t="s">
        <v>72</v>
      </c>
      <c r="H201" s="527"/>
      <c r="I201" s="527"/>
      <c r="J201" s="527"/>
      <c r="K201" s="419">
        <f>SUM(H201:J201)</f>
        <v>0</v>
      </c>
    </row>
    <row r="202" spans="1:11" s="311" customFormat="1" ht="36.75" customHeight="1">
      <c r="A202" s="523"/>
      <c r="B202" s="524"/>
      <c r="C202" s="532"/>
      <c r="D202" s="524"/>
      <c r="E202" s="524">
        <v>60</v>
      </c>
      <c r="F202" s="476">
        <v>454</v>
      </c>
      <c r="G202" s="533" t="s">
        <v>98</v>
      </c>
      <c r="H202" s="534">
        <v>4000000</v>
      </c>
      <c r="I202" s="534"/>
      <c r="J202" s="419"/>
      <c r="K202" s="419">
        <f>SUM(H202:J202)</f>
        <v>4000000</v>
      </c>
    </row>
    <row r="203" spans="1:11" s="311" customFormat="1" ht="36.75" customHeight="1">
      <c r="A203" s="523"/>
      <c r="B203" s="524"/>
      <c r="C203" s="532"/>
      <c r="D203" s="524"/>
      <c r="E203" s="524">
        <v>61</v>
      </c>
      <c r="F203" s="476">
        <v>464</v>
      </c>
      <c r="G203" s="533" t="s">
        <v>718</v>
      </c>
      <c r="H203" s="534">
        <v>0</v>
      </c>
      <c r="I203" s="534"/>
      <c r="J203" s="419"/>
      <c r="K203" s="419">
        <f>SUM(H203:J203)</f>
        <v>0</v>
      </c>
    </row>
    <row r="204" spans="1:11" s="311" customFormat="1" ht="21.75" customHeight="1">
      <c r="A204" s="523"/>
      <c r="B204" s="524"/>
      <c r="C204" s="532"/>
      <c r="D204" s="524"/>
      <c r="E204" s="524"/>
      <c r="F204" s="476"/>
      <c r="G204" s="540" t="s">
        <v>386</v>
      </c>
      <c r="H204" s="595">
        <f>SUM(H202:H203)</f>
        <v>4000000</v>
      </c>
      <c r="I204" s="595">
        <f>SUM(I202:I203)</f>
        <v>0</v>
      </c>
      <c r="J204" s="595">
        <f>SUM(J202:J203)</f>
        <v>0</v>
      </c>
      <c r="K204" s="595">
        <f>SUM(K202:K203)</f>
        <v>4000000</v>
      </c>
    </row>
    <row r="205" spans="1:11" s="311" customFormat="1" ht="42.75">
      <c r="A205" s="523"/>
      <c r="B205" s="524"/>
      <c r="C205" s="532"/>
      <c r="D205" s="524"/>
      <c r="E205" s="524"/>
      <c r="F205" s="476"/>
      <c r="G205" s="554" t="s">
        <v>620</v>
      </c>
      <c r="H205" s="537"/>
      <c r="I205" s="537"/>
      <c r="J205" s="537"/>
      <c r="K205" s="419">
        <f aca="true" t="shared" si="3" ref="K205:K236">SUM(H205:J205)</f>
        <v>0</v>
      </c>
    </row>
    <row r="206" spans="1:11" s="311" customFormat="1" ht="15">
      <c r="A206" s="523"/>
      <c r="B206" s="524"/>
      <c r="C206" s="532"/>
      <c r="D206" s="524"/>
      <c r="E206" s="524"/>
      <c r="F206" s="476"/>
      <c r="G206" s="539" t="s">
        <v>88</v>
      </c>
      <c r="H206" s="527"/>
      <c r="I206" s="527"/>
      <c r="J206" s="527"/>
      <c r="K206" s="419">
        <f t="shared" si="3"/>
        <v>0</v>
      </c>
    </row>
    <row r="207" spans="1:11" s="311" customFormat="1" ht="28.5">
      <c r="A207" s="523"/>
      <c r="B207" s="524"/>
      <c r="C207" s="532"/>
      <c r="D207" s="524"/>
      <c r="E207" s="524"/>
      <c r="F207" s="476"/>
      <c r="G207" s="540" t="s">
        <v>621</v>
      </c>
      <c r="H207" s="541">
        <f>SUM(H202:H203)</f>
        <v>4000000</v>
      </c>
      <c r="I207" s="541">
        <f>SUM(I202:I203)</f>
        <v>0</v>
      </c>
      <c r="J207" s="541">
        <f>SUM(J202:J203)</f>
        <v>0</v>
      </c>
      <c r="K207" s="419">
        <f t="shared" si="3"/>
        <v>4000000</v>
      </c>
    </row>
    <row r="208" spans="1:11" s="311" customFormat="1" ht="68.25" customHeight="1">
      <c r="A208" s="523"/>
      <c r="B208" s="524"/>
      <c r="C208" s="864" t="s">
        <v>319</v>
      </c>
      <c r="D208" s="864"/>
      <c r="E208" s="524"/>
      <c r="F208" s="476"/>
      <c r="G208" s="540" t="s">
        <v>623</v>
      </c>
      <c r="H208" s="541"/>
      <c r="I208" s="541"/>
      <c r="J208" s="541"/>
      <c r="K208" s="419">
        <f t="shared" si="3"/>
        <v>0</v>
      </c>
    </row>
    <row r="209" spans="1:11" s="311" customFormat="1" ht="24.75" customHeight="1">
      <c r="A209" s="523"/>
      <c r="B209" s="524"/>
      <c r="C209" s="804"/>
      <c r="D209" s="529">
        <v>411</v>
      </c>
      <c r="E209" s="524">
        <v>62</v>
      </c>
      <c r="F209" s="476">
        <v>425</v>
      </c>
      <c r="G209" s="583" t="s">
        <v>719</v>
      </c>
      <c r="H209" s="534">
        <v>0</v>
      </c>
      <c r="I209" s="534"/>
      <c r="J209" s="419"/>
      <c r="K209" s="419">
        <f t="shared" si="3"/>
        <v>0</v>
      </c>
    </row>
    <row r="210" spans="1:11" s="311" customFormat="1" ht="24.75" customHeight="1">
      <c r="A210" s="523"/>
      <c r="B210" s="524"/>
      <c r="C210" s="804"/>
      <c r="D210" s="529"/>
      <c r="E210" s="524">
        <v>63</v>
      </c>
      <c r="F210" s="476">
        <v>511</v>
      </c>
      <c r="G210" s="583" t="s">
        <v>789</v>
      </c>
      <c r="H210" s="534">
        <v>0</v>
      </c>
      <c r="I210" s="534"/>
      <c r="J210" s="419"/>
      <c r="K210" s="419">
        <f t="shared" si="3"/>
        <v>0</v>
      </c>
    </row>
    <row r="211" spans="1:11" s="311" customFormat="1" ht="24.75" customHeight="1">
      <c r="A211" s="523"/>
      <c r="B211" s="524"/>
      <c r="C211" s="804"/>
      <c r="D211" s="529"/>
      <c r="E211" s="524">
        <v>64</v>
      </c>
      <c r="F211" s="476">
        <v>512</v>
      </c>
      <c r="G211" s="583" t="s">
        <v>238</v>
      </c>
      <c r="H211" s="534">
        <v>0</v>
      </c>
      <c r="I211" s="534"/>
      <c r="J211" s="419"/>
      <c r="K211" s="419">
        <f t="shared" si="3"/>
        <v>0</v>
      </c>
    </row>
    <row r="212" spans="1:11" s="311" customFormat="1" ht="33" customHeight="1">
      <c r="A212" s="523"/>
      <c r="B212" s="524"/>
      <c r="C212" s="532"/>
      <c r="D212" s="529"/>
      <c r="E212" s="524">
        <v>65</v>
      </c>
      <c r="F212" s="476">
        <v>541</v>
      </c>
      <c r="G212" s="533" t="s">
        <v>97</v>
      </c>
      <c r="H212" s="534">
        <v>1500000</v>
      </c>
      <c r="I212" s="534"/>
      <c r="J212" s="419"/>
      <c r="K212" s="419">
        <f t="shared" si="3"/>
        <v>1500000</v>
      </c>
    </row>
    <row r="213" spans="1:11" s="311" customFormat="1" ht="15">
      <c r="A213" s="523"/>
      <c r="B213" s="524"/>
      <c r="C213" s="532"/>
      <c r="D213" s="524"/>
      <c r="E213" s="524"/>
      <c r="F213" s="476"/>
      <c r="G213" s="540" t="s">
        <v>386</v>
      </c>
      <c r="H213" s="541">
        <f>SUM(H209:H212)</f>
        <v>1500000</v>
      </c>
      <c r="I213" s="541">
        <f>SUM(I209:I212)</f>
        <v>0</v>
      </c>
      <c r="J213" s="541">
        <f>SUM(J209:J212)</f>
        <v>0</v>
      </c>
      <c r="K213" s="419">
        <f t="shared" si="3"/>
        <v>1500000</v>
      </c>
    </row>
    <row r="214" spans="1:11" s="311" customFormat="1" ht="42.75">
      <c r="A214" s="523"/>
      <c r="B214" s="524"/>
      <c r="C214" s="532"/>
      <c r="D214" s="524"/>
      <c r="E214" s="524"/>
      <c r="F214" s="476"/>
      <c r="G214" s="554" t="s">
        <v>387</v>
      </c>
      <c r="H214" s="541"/>
      <c r="I214" s="541"/>
      <c r="J214" s="541"/>
      <c r="K214" s="419">
        <f t="shared" si="3"/>
        <v>0</v>
      </c>
    </row>
    <row r="215" spans="1:11" s="311" customFormat="1" ht="15">
      <c r="A215" s="523"/>
      <c r="B215" s="524"/>
      <c r="C215" s="532"/>
      <c r="D215" s="524"/>
      <c r="E215" s="524"/>
      <c r="F215" s="476"/>
      <c r="G215" s="539" t="s">
        <v>88</v>
      </c>
      <c r="H215" s="541"/>
      <c r="I215" s="541"/>
      <c r="J215" s="541"/>
      <c r="K215" s="419">
        <f t="shared" si="3"/>
        <v>0</v>
      </c>
    </row>
    <row r="216" spans="1:11" s="311" customFormat="1" ht="28.5">
      <c r="A216" s="523"/>
      <c r="B216" s="524"/>
      <c r="C216" s="532"/>
      <c r="D216" s="524"/>
      <c r="E216" s="524"/>
      <c r="F216" s="476"/>
      <c r="G216" s="540" t="s">
        <v>622</v>
      </c>
      <c r="H216" s="541">
        <f>H213</f>
        <v>1500000</v>
      </c>
      <c r="I216" s="541">
        <f>I213</f>
        <v>0</v>
      </c>
      <c r="J216" s="541">
        <f>J213</f>
        <v>0</v>
      </c>
      <c r="K216" s="419">
        <f t="shared" si="3"/>
        <v>1500000</v>
      </c>
    </row>
    <row r="217" spans="1:11" s="311" customFormat="1" ht="35.25" customHeight="1">
      <c r="A217" s="576"/>
      <c r="B217" s="577"/>
      <c r="C217" s="596"/>
      <c r="D217" s="556"/>
      <c r="E217" s="560"/>
      <c r="F217" s="561"/>
      <c r="G217" s="597" t="s">
        <v>713</v>
      </c>
      <c r="H217" s="541">
        <f>H216+H207</f>
        <v>5500000</v>
      </c>
      <c r="I217" s="541">
        <f>I216+I207</f>
        <v>0</v>
      </c>
      <c r="J217" s="541">
        <f>J216+J207</f>
        <v>0</v>
      </c>
      <c r="K217" s="419">
        <f t="shared" si="3"/>
        <v>5500000</v>
      </c>
    </row>
    <row r="218" spans="1:11" s="311" customFormat="1" ht="28.5" customHeight="1">
      <c r="A218" s="523"/>
      <c r="B218" s="524"/>
      <c r="C218" s="525" t="s">
        <v>399</v>
      </c>
      <c r="D218" s="524"/>
      <c r="E218" s="524"/>
      <c r="F218" s="526"/>
      <c r="G218" s="873" t="s">
        <v>331</v>
      </c>
      <c r="H218" s="873"/>
      <c r="I218" s="805"/>
      <c r="J218" s="805"/>
      <c r="K218" s="419">
        <f t="shared" si="3"/>
        <v>0</v>
      </c>
    </row>
    <row r="219" spans="1:11" s="311" customFormat="1" ht="15">
      <c r="A219" s="523"/>
      <c r="B219" s="524"/>
      <c r="C219" s="569" t="s">
        <v>181</v>
      </c>
      <c r="D219" s="556"/>
      <c r="E219" s="556"/>
      <c r="F219" s="526"/>
      <c r="G219" s="570" t="s">
        <v>263</v>
      </c>
      <c r="H219" s="527"/>
      <c r="I219" s="527"/>
      <c r="J219" s="527"/>
      <c r="K219" s="419">
        <f t="shared" si="3"/>
        <v>0</v>
      </c>
    </row>
    <row r="220" spans="1:11" s="311" customFormat="1" ht="15">
      <c r="A220" s="523"/>
      <c r="B220" s="524"/>
      <c r="C220" s="598"/>
      <c r="D220" s="529">
        <v>473</v>
      </c>
      <c r="E220" s="529"/>
      <c r="F220" s="530"/>
      <c r="G220" s="571" t="s">
        <v>75</v>
      </c>
      <c r="H220" s="527"/>
      <c r="I220" s="527"/>
      <c r="J220" s="527"/>
      <c r="K220" s="419">
        <f t="shared" si="3"/>
        <v>0</v>
      </c>
    </row>
    <row r="221" spans="1:11" s="311" customFormat="1" ht="15">
      <c r="A221" s="523"/>
      <c r="B221" s="524"/>
      <c r="C221" s="598"/>
      <c r="D221" s="529"/>
      <c r="E221" s="524">
        <v>66</v>
      </c>
      <c r="F221" s="526">
        <v>424</v>
      </c>
      <c r="G221" s="583" t="s">
        <v>303</v>
      </c>
      <c r="H221" s="534">
        <v>0</v>
      </c>
      <c r="I221" s="534">
        <v>0</v>
      </c>
      <c r="J221" s="419"/>
      <c r="K221" s="419">
        <f t="shared" si="3"/>
        <v>0</v>
      </c>
    </row>
    <row r="222" spans="1:11" s="311" customFormat="1" ht="30">
      <c r="A222" s="523"/>
      <c r="B222" s="524"/>
      <c r="C222" s="532"/>
      <c r="D222" s="524"/>
      <c r="E222" s="524">
        <v>67</v>
      </c>
      <c r="F222" s="476">
        <v>511</v>
      </c>
      <c r="G222" s="583" t="s">
        <v>237</v>
      </c>
      <c r="H222" s="534">
        <v>0</v>
      </c>
      <c r="I222" s="534">
        <v>0</v>
      </c>
      <c r="J222" s="419"/>
      <c r="K222" s="419">
        <f t="shared" si="3"/>
        <v>0</v>
      </c>
    </row>
    <row r="223" spans="1:11" s="311" customFormat="1" ht="28.5">
      <c r="A223" s="523"/>
      <c r="B223" s="524"/>
      <c r="C223" s="532"/>
      <c r="D223" s="524"/>
      <c r="E223" s="535"/>
      <c r="F223" s="476"/>
      <c r="G223" s="536" t="s">
        <v>443</v>
      </c>
      <c r="H223" s="537"/>
      <c r="I223" s="537"/>
      <c r="J223" s="537"/>
      <c r="K223" s="419">
        <f t="shared" si="3"/>
        <v>0</v>
      </c>
    </row>
    <row r="224" spans="1:11" s="311" customFormat="1" ht="15">
      <c r="A224" s="523"/>
      <c r="B224" s="524"/>
      <c r="C224" s="532"/>
      <c r="D224" s="524"/>
      <c r="E224" s="524"/>
      <c r="F224" s="538" t="s">
        <v>87</v>
      </c>
      <c r="G224" s="539" t="s">
        <v>88</v>
      </c>
      <c r="H224" s="527"/>
      <c r="I224" s="527"/>
      <c r="J224" s="527"/>
      <c r="K224" s="419">
        <f t="shared" si="3"/>
        <v>0</v>
      </c>
    </row>
    <row r="225" spans="1:11" s="311" customFormat="1" ht="15">
      <c r="A225" s="523"/>
      <c r="B225" s="524"/>
      <c r="C225" s="532"/>
      <c r="D225" s="524"/>
      <c r="E225" s="524"/>
      <c r="F225" s="526"/>
      <c r="G225" s="540" t="s">
        <v>444</v>
      </c>
      <c r="H225" s="541">
        <f>SUM(H221:H222)</f>
        <v>0</v>
      </c>
      <c r="I225" s="541">
        <f>SUM(I221:I222)</f>
        <v>0</v>
      </c>
      <c r="J225" s="541">
        <f>SUM(J221:J222)</f>
        <v>0</v>
      </c>
      <c r="K225" s="419">
        <f t="shared" si="3"/>
        <v>0</v>
      </c>
    </row>
    <row r="226" spans="1:11" s="311" customFormat="1" ht="42.75">
      <c r="A226" s="523"/>
      <c r="B226" s="524"/>
      <c r="C226" s="532"/>
      <c r="D226" s="524"/>
      <c r="E226" s="535"/>
      <c r="F226" s="476"/>
      <c r="G226" s="554" t="s">
        <v>332</v>
      </c>
      <c r="H226" s="537"/>
      <c r="I226" s="537"/>
      <c r="J226" s="537"/>
      <c r="K226" s="419">
        <f t="shared" si="3"/>
        <v>0</v>
      </c>
    </row>
    <row r="227" spans="1:11" s="311" customFormat="1" ht="15">
      <c r="A227" s="523"/>
      <c r="B227" s="524"/>
      <c r="C227" s="532"/>
      <c r="D227" s="524"/>
      <c r="E227" s="524"/>
      <c r="F227" s="538" t="s">
        <v>87</v>
      </c>
      <c r="G227" s="539" t="s">
        <v>88</v>
      </c>
      <c r="H227" s="527"/>
      <c r="I227" s="527"/>
      <c r="J227" s="527"/>
      <c r="K227" s="419">
        <f t="shared" si="3"/>
        <v>0</v>
      </c>
    </row>
    <row r="228" spans="1:11" s="311" customFormat="1" ht="28.5">
      <c r="A228" s="523"/>
      <c r="B228" s="524"/>
      <c r="C228" s="532"/>
      <c r="D228" s="524"/>
      <c r="E228" s="524"/>
      <c r="F228" s="526"/>
      <c r="G228" s="540" t="s">
        <v>273</v>
      </c>
      <c r="H228" s="541">
        <f>H225</f>
        <v>0</v>
      </c>
      <c r="I228" s="541">
        <f>I225</f>
        <v>0</v>
      </c>
      <c r="J228" s="541">
        <f>J225</f>
        <v>0</v>
      </c>
      <c r="K228" s="419">
        <f t="shared" si="3"/>
        <v>0</v>
      </c>
    </row>
    <row r="229" spans="1:11" s="311" customFormat="1" ht="15">
      <c r="A229" s="576"/>
      <c r="B229" s="577"/>
      <c r="C229" s="563" t="s">
        <v>400</v>
      </c>
      <c r="D229" s="563"/>
      <c r="E229" s="524"/>
      <c r="F229" s="526"/>
      <c r="G229" s="570" t="s">
        <v>458</v>
      </c>
      <c r="H229" s="527"/>
      <c r="I229" s="527"/>
      <c r="J229" s="527"/>
      <c r="K229" s="419">
        <f t="shared" si="3"/>
        <v>0</v>
      </c>
    </row>
    <row r="230" spans="1:11" s="311" customFormat="1" ht="42.75" customHeight="1">
      <c r="A230" s="523"/>
      <c r="B230" s="524"/>
      <c r="C230" s="525" t="s">
        <v>182</v>
      </c>
      <c r="D230" s="809"/>
      <c r="E230" s="524"/>
      <c r="F230" s="526"/>
      <c r="G230" s="865" t="s">
        <v>673</v>
      </c>
      <c r="H230" s="865"/>
      <c r="I230" s="803"/>
      <c r="J230" s="803"/>
      <c r="K230" s="419">
        <f t="shared" si="3"/>
        <v>0</v>
      </c>
    </row>
    <row r="231" spans="1:11" s="311" customFormat="1" ht="15">
      <c r="A231" s="576"/>
      <c r="B231" s="577"/>
      <c r="C231" s="563"/>
      <c r="D231" s="593">
        <v>421</v>
      </c>
      <c r="E231" s="529"/>
      <c r="F231" s="530"/>
      <c r="G231" s="594" t="s">
        <v>73</v>
      </c>
      <c r="H231" s="527"/>
      <c r="I231" s="527"/>
      <c r="J231" s="527"/>
      <c r="K231" s="419">
        <f t="shared" si="3"/>
        <v>0</v>
      </c>
    </row>
    <row r="232" spans="1:11" s="311" customFormat="1" ht="67.5" customHeight="1">
      <c r="A232" s="523"/>
      <c r="B232" s="524"/>
      <c r="C232" s="532"/>
      <c r="D232" s="524"/>
      <c r="E232" s="524">
        <v>68</v>
      </c>
      <c r="F232" s="476">
        <v>424</v>
      </c>
      <c r="G232" s="533" t="s">
        <v>768</v>
      </c>
      <c r="H232" s="534">
        <v>100000</v>
      </c>
      <c r="I232" s="419"/>
      <c r="J232" s="419"/>
      <c r="K232" s="419">
        <f t="shared" si="3"/>
        <v>100000</v>
      </c>
    </row>
    <row r="233" spans="1:11" s="311" customFormat="1" ht="28.5">
      <c r="A233" s="523"/>
      <c r="B233" s="524"/>
      <c r="C233" s="532"/>
      <c r="D233" s="524"/>
      <c r="E233" s="535"/>
      <c r="F233" s="476"/>
      <c r="G233" s="554" t="s">
        <v>388</v>
      </c>
      <c r="H233" s="537"/>
      <c r="I233" s="537"/>
      <c r="J233" s="537"/>
      <c r="K233" s="419">
        <f t="shared" si="3"/>
        <v>0</v>
      </c>
    </row>
    <row r="234" spans="1:11" s="311" customFormat="1" ht="15">
      <c r="A234" s="523"/>
      <c r="B234" s="524"/>
      <c r="C234" s="532"/>
      <c r="D234" s="524"/>
      <c r="E234" s="524"/>
      <c r="F234" s="538" t="s">
        <v>87</v>
      </c>
      <c r="G234" s="539" t="s">
        <v>88</v>
      </c>
      <c r="H234" s="527"/>
      <c r="I234" s="527"/>
      <c r="J234" s="527"/>
      <c r="K234" s="419">
        <f t="shared" si="3"/>
        <v>0</v>
      </c>
    </row>
    <row r="235" spans="1:11" s="311" customFormat="1" ht="15">
      <c r="A235" s="523"/>
      <c r="B235" s="524"/>
      <c r="C235" s="532"/>
      <c r="D235" s="524"/>
      <c r="E235" s="524"/>
      <c r="F235" s="526"/>
      <c r="G235" s="540" t="s">
        <v>389</v>
      </c>
      <c r="H235" s="541">
        <f>SUM(H232:H232)</f>
        <v>100000</v>
      </c>
      <c r="I235" s="541">
        <f>SUM(I232:I232)</f>
        <v>0</v>
      </c>
      <c r="J235" s="541">
        <f>SUM(J232:J232)</f>
        <v>0</v>
      </c>
      <c r="K235" s="419">
        <f t="shared" si="3"/>
        <v>100000</v>
      </c>
    </row>
    <row r="236" spans="1:11" s="311" customFormat="1" ht="42.75" collapsed="1">
      <c r="A236" s="523"/>
      <c r="B236" s="524"/>
      <c r="C236" s="532"/>
      <c r="D236" s="524"/>
      <c r="E236" s="535"/>
      <c r="F236" s="476"/>
      <c r="G236" s="554" t="s">
        <v>459</v>
      </c>
      <c r="H236" s="537"/>
      <c r="I236" s="537"/>
      <c r="J236" s="537"/>
      <c r="K236" s="419">
        <f t="shared" si="3"/>
        <v>0</v>
      </c>
    </row>
    <row r="237" spans="1:11" s="311" customFormat="1" ht="15">
      <c r="A237" s="523"/>
      <c r="B237" s="524"/>
      <c r="C237" s="532"/>
      <c r="D237" s="524"/>
      <c r="E237" s="524"/>
      <c r="F237" s="538" t="s">
        <v>87</v>
      </c>
      <c r="G237" s="539" t="s">
        <v>88</v>
      </c>
      <c r="H237" s="527"/>
      <c r="I237" s="527"/>
      <c r="J237" s="527"/>
      <c r="K237" s="419">
        <f aca="true" t="shared" si="4" ref="K237:K268">SUM(H237:J237)</f>
        <v>0</v>
      </c>
    </row>
    <row r="238" spans="1:11" s="311" customFormat="1" ht="28.5" collapsed="1">
      <c r="A238" s="523"/>
      <c r="B238" s="524"/>
      <c r="C238" s="532"/>
      <c r="D238" s="524"/>
      <c r="E238" s="524"/>
      <c r="F238" s="526"/>
      <c r="G238" s="540" t="s">
        <v>460</v>
      </c>
      <c r="H238" s="541">
        <f>SUM(H235)</f>
        <v>100000</v>
      </c>
      <c r="I238" s="541">
        <f>SUM(I235)</f>
        <v>0</v>
      </c>
      <c r="J238" s="541">
        <f>SUM(J235)</f>
        <v>0</v>
      </c>
      <c r="K238" s="419">
        <f t="shared" si="4"/>
        <v>100000</v>
      </c>
    </row>
    <row r="239" spans="1:11" s="311" customFormat="1" ht="42.75" customHeight="1">
      <c r="A239" s="523"/>
      <c r="B239" s="524"/>
      <c r="C239" s="525" t="s">
        <v>180</v>
      </c>
      <c r="D239" s="809"/>
      <c r="E239" s="524"/>
      <c r="F239" s="526"/>
      <c r="G239" s="865" t="s">
        <v>674</v>
      </c>
      <c r="H239" s="865"/>
      <c r="I239" s="803"/>
      <c r="J239" s="803"/>
      <c r="K239" s="419">
        <f t="shared" si="4"/>
        <v>0</v>
      </c>
    </row>
    <row r="240" spans="1:11" s="311" customFormat="1" ht="15">
      <c r="A240" s="599"/>
      <c r="B240" s="600"/>
      <c r="C240" s="601"/>
      <c r="D240" s="593">
        <v>421</v>
      </c>
      <c r="E240" s="529"/>
      <c r="F240" s="530"/>
      <c r="G240" s="594" t="s">
        <v>73</v>
      </c>
      <c r="H240" s="527"/>
      <c r="I240" s="527"/>
      <c r="J240" s="527"/>
      <c r="K240" s="419">
        <f t="shared" si="4"/>
        <v>0</v>
      </c>
    </row>
    <row r="241" spans="1:11" s="311" customFormat="1" ht="29.25" customHeight="1">
      <c r="A241" s="599"/>
      <c r="B241" s="600"/>
      <c r="C241" s="601"/>
      <c r="D241" s="593"/>
      <c r="E241" s="524">
        <v>69</v>
      </c>
      <c r="F241" s="526">
        <v>424</v>
      </c>
      <c r="G241" s="602" t="s">
        <v>303</v>
      </c>
      <c r="H241" s="534">
        <v>100000</v>
      </c>
      <c r="I241" s="534"/>
      <c r="J241" s="419"/>
      <c r="K241" s="419">
        <f t="shared" si="4"/>
        <v>100000</v>
      </c>
    </row>
    <row r="242" spans="1:11" s="311" customFormat="1" ht="95.25" customHeight="1">
      <c r="A242" s="523"/>
      <c r="B242" s="524"/>
      <c r="C242" s="532"/>
      <c r="D242" s="524"/>
      <c r="E242" s="524">
        <v>70</v>
      </c>
      <c r="F242" s="476">
        <v>454</v>
      </c>
      <c r="G242" s="582" t="s">
        <v>675</v>
      </c>
      <c r="H242" s="534">
        <v>6000000</v>
      </c>
      <c r="I242" s="534"/>
      <c r="J242" s="419"/>
      <c r="K242" s="419">
        <f t="shared" si="4"/>
        <v>6000000</v>
      </c>
    </row>
    <row r="243" spans="1:11" s="311" customFormat="1" ht="28.5">
      <c r="A243" s="523"/>
      <c r="B243" s="524"/>
      <c r="C243" s="532"/>
      <c r="D243" s="524"/>
      <c r="E243" s="535"/>
      <c r="F243" s="476"/>
      <c r="G243" s="554" t="s">
        <v>388</v>
      </c>
      <c r="H243" s="537"/>
      <c r="I243" s="537"/>
      <c r="J243" s="537"/>
      <c r="K243" s="419">
        <f t="shared" si="4"/>
        <v>0</v>
      </c>
    </row>
    <row r="244" spans="1:11" s="311" customFormat="1" ht="15">
      <c r="A244" s="523"/>
      <c r="B244" s="524"/>
      <c r="C244" s="532"/>
      <c r="D244" s="524"/>
      <c r="E244" s="524"/>
      <c r="F244" s="538" t="s">
        <v>87</v>
      </c>
      <c r="G244" s="539" t="s">
        <v>88</v>
      </c>
      <c r="H244" s="527"/>
      <c r="I244" s="527"/>
      <c r="J244" s="527"/>
      <c r="K244" s="419">
        <f t="shared" si="4"/>
        <v>0</v>
      </c>
    </row>
    <row r="245" spans="1:11" s="311" customFormat="1" ht="15">
      <c r="A245" s="523"/>
      <c r="B245" s="524"/>
      <c r="C245" s="532"/>
      <c r="D245" s="524"/>
      <c r="E245" s="524"/>
      <c r="F245" s="526"/>
      <c r="G245" s="540" t="s">
        <v>389</v>
      </c>
      <c r="H245" s="541">
        <f>SUM(H241:H242)</f>
        <v>6100000</v>
      </c>
      <c r="I245" s="541">
        <f>SUM(I241:I242)</f>
        <v>0</v>
      </c>
      <c r="J245" s="541">
        <f>SUM(J241:J242)</f>
        <v>0</v>
      </c>
      <c r="K245" s="419">
        <f t="shared" si="4"/>
        <v>6100000</v>
      </c>
    </row>
    <row r="246" spans="1:11" s="311" customFormat="1" ht="42.75" collapsed="1">
      <c r="A246" s="523"/>
      <c r="B246" s="524"/>
      <c r="C246" s="532"/>
      <c r="D246" s="524"/>
      <c r="E246" s="535"/>
      <c r="F246" s="476"/>
      <c r="G246" s="554" t="s">
        <v>461</v>
      </c>
      <c r="H246" s="537"/>
      <c r="I246" s="537"/>
      <c r="J246" s="537"/>
      <c r="K246" s="419">
        <f t="shared" si="4"/>
        <v>0</v>
      </c>
    </row>
    <row r="247" spans="1:11" s="311" customFormat="1" ht="15">
      <c r="A247" s="523"/>
      <c r="B247" s="524"/>
      <c r="C247" s="532"/>
      <c r="D247" s="524"/>
      <c r="E247" s="524"/>
      <c r="F247" s="538" t="s">
        <v>87</v>
      </c>
      <c r="G247" s="539" t="s">
        <v>88</v>
      </c>
      <c r="H247" s="527"/>
      <c r="I247" s="527"/>
      <c r="J247" s="527"/>
      <c r="K247" s="419">
        <f t="shared" si="4"/>
        <v>0</v>
      </c>
    </row>
    <row r="248" spans="1:11" s="311" customFormat="1" ht="28.5" collapsed="1">
      <c r="A248" s="523"/>
      <c r="B248" s="524"/>
      <c r="C248" s="532"/>
      <c r="D248" s="524"/>
      <c r="E248" s="524"/>
      <c r="F248" s="526"/>
      <c r="G248" s="540" t="s">
        <v>462</v>
      </c>
      <c r="H248" s="541">
        <f>SUM(H245)</f>
        <v>6100000</v>
      </c>
      <c r="I248" s="541">
        <f>SUM(I245)</f>
        <v>0</v>
      </c>
      <c r="J248" s="541">
        <f>SUM(J245)</f>
        <v>0</v>
      </c>
      <c r="K248" s="419">
        <f t="shared" si="4"/>
        <v>6100000</v>
      </c>
    </row>
    <row r="249" spans="1:11" s="311" customFormat="1" ht="15">
      <c r="A249" s="576"/>
      <c r="B249" s="577"/>
      <c r="C249" s="559"/>
      <c r="D249" s="560"/>
      <c r="E249" s="560"/>
      <c r="F249" s="476"/>
      <c r="G249" s="554" t="s">
        <v>491</v>
      </c>
      <c r="H249" s="537"/>
      <c r="I249" s="537"/>
      <c r="J249" s="537"/>
      <c r="K249" s="419">
        <f t="shared" si="4"/>
        <v>0</v>
      </c>
    </row>
    <row r="250" spans="1:11" s="311" customFormat="1" ht="15">
      <c r="A250" s="576"/>
      <c r="B250" s="577"/>
      <c r="C250" s="559"/>
      <c r="D250" s="560"/>
      <c r="E250" s="560"/>
      <c r="F250" s="538" t="s">
        <v>87</v>
      </c>
      <c r="G250" s="539" t="s">
        <v>88</v>
      </c>
      <c r="H250" s="527"/>
      <c r="I250" s="527"/>
      <c r="J250" s="527"/>
      <c r="K250" s="419">
        <f t="shared" si="4"/>
        <v>0</v>
      </c>
    </row>
    <row r="251" spans="1:11" s="311" customFormat="1" ht="15">
      <c r="A251" s="576"/>
      <c r="B251" s="577"/>
      <c r="C251" s="559"/>
      <c r="D251" s="560"/>
      <c r="E251" s="560"/>
      <c r="F251" s="526"/>
      <c r="G251" s="540" t="s">
        <v>463</v>
      </c>
      <c r="H251" s="541">
        <f>SUM(H248+H238)</f>
        <v>6200000</v>
      </c>
      <c r="I251" s="541">
        <f>SUM(I248+I238)</f>
        <v>0</v>
      </c>
      <c r="J251" s="541">
        <f>SUM(J248+J238)</f>
        <v>0</v>
      </c>
      <c r="K251" s="419">
        <f t="shared" si="4"/>
        <v>6200000</v>
      </c>
    </row>
    <row r="252" spans="1:11" s="311" customFormat="1" ht="27" customHeight="1">
      <c r="A252" s="576"/>
      <c r="B252" s="577"/>
      <c r="C252" s="563" t="s">
        <v>401</v>
      </c>
      <c r="D252" s="563"/>
      <c r="E252" s="524"/>
      <c r="F252" s="526"/>
      <c r="G252" s="570" t="s">
        <v>464</v>
      </c>
      <c r="H252" s="527"/>
      <c r="I252" s="527"/>
      <c r="J252" s="527"/>
      <c r="K252" s="419">
        <f t="shared" si="4"/>
        <v>0</v>
      </c>
    </row>
    <row r="253" spans="1:11" s="311" customFormat="1" ht="42.75">
      <c r="A253" s="576"/>
      <c r="B253" s="577"/>
      <c r="C253" s="525" t="s">
        <v>175</v>
      </c>
      <c r="D253" s="809"/>
      <c r="E253" s="556"/>
      <c r="F253" s="584"/>
      <c r="G253" s="540" t="s">
        <v>685</v>
      </c>
      <c r="H253" s="585"/>
      <c r="I253" s="585"/>
      <c r="J253" s="585"/>
      <c r="K253" s="419">
        <f t="shared" si="4"/>
        <v>0</v>
      </c>
    </row>
    <row r="254" spans="1:11" s="311" customFormat="1" ht="15">
      <c r="A254" s="576"/>
      <c r="B254" s="577"/>
      <c r="C254" s="559"/>
      <c r="D254" s="603">
        <v>520</v>
      </c>
      <c r="E254" s="560"/>
      <c r="F254" s="538"/>
      <c r="G254" s="604" t="s">
        <v>76</v>
      </c>
      <c r="H254" s="527"/>
      <c r="I254" s="527"/>
      <c r="J254" s="527"/>
      <c r="K254" s="419">
        <f t="shared" si="4"/>
        <v>0</v>
      </c>
    </row>
    <row r="255" spans="1:11" s="311" customFormat="1" ht="15" customHeight="1">
      <c r="A255" s="576"/>
      <c r="B255" s="577"/>
      <c r="C255" s="559"/>
      <c r="D255" s="560"/>
      <c r="E255" s="556">
        <v>71</v>
      </c>
      <c r="F255" s="476">
        <v>423</v>
      </c>
      <c r="G255" s="533" t="s">
        <v>303</v>
      </c>
      <c r="H255" s="534">
        <v>50000</v>
      </c>
      <c r="I255" s="534"/>
      <c r="J255" s="419"/>
      <c r="K255" s="419">
        <f t="shared" si="4"/>
        <v>50000</v>
      </c>
    </row>
    <row r="256" spans="1:11" s="311" customFormat="1" ht="15" customHeight="1">
      <c r="A256" s="576"/>
      <c r="B256" s="577"/>
      <c r="C256" s="559"/>
      <c r="D256" s="560"/>
      <c r="E256" s="556">
        <v>72</v>
      </c>
      <c r="F256" s="476">
        <v>511</v>
      </c>
      <c r="G256" s="533" t="s">
        <v>805</v>
      </c>
      <c r="H256" s="534">
        <v>50000</v>
      </c>
      <c r="I256" s="534"/>
      <c r="J256" s="419"/>
      <c r="K256" s="419">
        <f t="shared" si="4"/>
        <v>50000</v>
      </c>
    </row>
    <row r="257" spans="1:11" s="311" customFormat="1" ht="28.5">
      <c r="A257" s="576"/>
      <c r="B257" s="577"/>
      <c r="C257" s="559"/>
      <c r="D257" s="560"/>
      <c r="E257" s="560"/>
      <c r="F257" s="538"/>
      <c r="G257" s="554" t="s">
        <v>447</v>
      </c>
      <c r="H257" s="537"/>
      <c r="I257" s="537"/>
      <c r="J257" s="537"/>
      <c r="K257" s="419">
        <f t="shared" si="4"/>
        <v>0</v>
      </c>
    </row>
    <row r="258" spans="1:11" s="311" customFormat="1" ht="15">
      <c r="A258" s="576"/>
      <c r="B258" s="577"/>
      <c r="C258" s="559"/>
      <c r="D258" s="560"/>
      <c r="E258" s="560"/>
      <c r="F258" s="538">
        <v>1</v>
      </c>
      <c r="G258" s="539" t="s">
        <v>88</v>
      </c>
      <c r="H258" s="527"/>
      <c r="I258" s="527"/>
      <c r="J258" s="527"/>
      <c r="K258" s="419">
        <f t="shared" si="4"/>
        <v>0</v>
      </c>
    </row>
    <row r="259" spans="1:11" s="311" customFormat="1" ht="15">
      <c r="A259" s="576"/>
      <c r="B259" s="577"/>
      <c r="C259" s="559"/>
      <c r="D259" s="560"/>
      <c r="E259" s="560"/>
      <c r="F259" s="538"/>
      <c r="G259" s="540" t="s">
        <v>448</v>
      </c>
      <c r="H259" s="541">
        <f>SUM(H255+H256)</f>
        <v>100000</v>
      </c>
      <c r="I259" s="541">
        <f>SUM(I255)</f>
        <v>0</v>
      </c>
      <c r="J259" s="541">
        <f>SUM(J255)</f>
        <v>0</v>
      </c>
      <c r="K259" s="419">
        <f t="shared" si="4"/>
        <v>100000</v>
      </c>
    </row>
    <row r="260" spans="1:11" s="311" customFormat="1" ht="28.5">
      <c r="A260" s="576"/>
      <c r="B260" s="577"/>
      <c r="C260" s="559"/>
      <c r="D260" s="560"/>
      <c r="E260" s="560"/>
      <c r="F260" s="538"/>
      <c r="G260" s="540" t="s">
        <v>689</v>
      </c>
      <c r="H260" s="541">
        <f>(H259)</f>
        <v>100000</v>
      </c>
      <c r="I260" s="541">
        <f>(I259)</f>
        <v>0</v>
      </c>
      <c r="J260" s="541">
        <f>(J259)</f>
        <v>0</v>
      </c>
      <c r="K260" s="419">
        <f t="shared" si="4"/>
        <v>100000</v>
      </c>
    </row>
    <row r="261" spans="1:11" s="311" customFormat="1" ht="42.75">
      <c r="A261" s="576"/>
      <c r="B261" s="577"/>
      <c r="C261" s="525" t="s">
        <v>687</v>
      </c>
      <c r="D261" s="809"/>
      <c r="E261" s="556"/>
      <c r="F261" s="584"/>
      <c r="G261" s="540" t="s">
        <v>690</v>
      </c>
      <c r="H261" s="585"/>
      <c r="I261" s="585"/>
      <c r="J261" s="585"/>
      <c r="K261" s="419">
        <f t="shared" si="4"/>
        <v>0</v>
      </c>
    </row>
    <row r="262" spans="1:11" s="311" customFormat="1" ht="15">
      <c r="A262" s="576"/>
      <c r="B262" s="577"/>
      <c r="C262" s="559"/>
      <c r="D262" s="603">
        <v>560</v>
      </c>
      <c r="E262" s="560"/>
      <c r="F262" s="538"/>
      <c r="G262" s="604" t="s">
        <v>644</v>
      </c>
      <c r="H262" s="527"/>
      <c r="I262" s="527"/>
      <c r="J262" s="527"/>
      <c r="K262" s="419">
        <f t="shared" si="4"/>
        <v>0</v>
      </c>
    </row>
    <row r="263" spans="1:11" s="311" customFormat="1" ht="15">
      <c r="A263" s="576"/>
      <c r="B263" s="577"/>
      <c r="C263" s="559"/>
      <c r="D263" s="560"/>
      <c r="E263" s="556">
        <v>73</v>
      </c>
      <c r="F263" s="476">
        <v>424</v>
      </c>
      <c r="G263" s="533" t="s">
        <v>303</v>
      </c>
      <c r="H263" s="534">
        <v>500000</v>
      </c>
      <c r="I263" s="534">
        <v>0</v>
      </c>
      <c r="J263" s="419"/>
      <c r="K263" s="419">
        <f t="shared" si="4"/>
        <v>500000</v>
      </c>
    </row>
    <row r="264" spans="1:11" s="311" customFormat="1" ht="15">
      <c r="A264" s="576"/>
      <c r="B264" s="577"/>
      <c r="C264" s="559"/>
      <c r="D264" s="560"/>
      <c r="E264" s="556">
        <v>74</v>
      </c>
      <c r="F264" s="476">
        <v>512</v>
      </c>
      <c r="G264" s="533" t="s">
        <v>238</v>
      </c>
      <c r="H264" s="534">
        <v>0</v>
      </c>
      <c r="I264" s="534"/>
      <c r="J264" s="419"/>
      <c r="K264" s="419"/>
    </row>
    <row r="265" spans="1:11" s="311" customFormat="1" ht="28.5">
      <c r="A265" s="576"/>
      <c r="B265" s="577"/>
      <c r="C265" s="559"/>
      <c r="D265" s="560"/>
      <c r="E265" s="560"/>
      <c r="F265" s="538"/>
      <c r="G265" s="554" t="s">
        <v>447</v>
      </c>
      <c r="H265" s="537"/>
      <c r="I265" s="537"/>
      <c r="J265" s="537"/>
      <c r="K265" s="419">
        <f t="shared" si="4"/>
        <v>0</v>
      </c>
    </row>
    <row r="266" spans="1:11" s="311" customFormat="1" ht="15">
      <c r="A266" s="576"/>
      <c r="B266" s="577"/>
      <c r="C266" s="559"/>
      <c r="D266" s="560"/>
      <c r="E266" s="560"/>
      <c r="F266" s="538">
        <v>1</v>
      </c>
      <c r="G266" s="539" t="s">
        <v>88</v>
      </c>
      <c r="H266" s="527"/>
      <c r="I266" s="527"/>
      <c r="J266" s="527"/>
      <c r="K266" s="419">
        <f t="shared" si="4"/>
        <v>0</v>
      </c>
    </row>
    <row r="267" spans="1:11" s="311" customFormat="1" ht="15">
      <c r="A267" s="576"/>
      <c r="B267" s="577"/>
      <c r="C267" s="559"/>
      <c r="D267" s="560"/>
      <c r="E267" s="560"/>
      <c r="F267" s="538"/>
      <c r="G267" s="540" t="s">
        <v>448</v>
      </c>
      <c r="H267" s="541">
        <f>SUM(H263+H264)</f>
        <v>500000</v>
      </c>
      <c r="I267" s="541">
        <f>SUM(I263)</f>
        <v>0</v>
      </c>
      <c r="J267" s="541">
        <f>SUM(J263)</f>
        <v>0</v>
      </c>
      <c r="K267" s="419">
        <f t="shared" si="4"/>
        <v>500000</v>
      </c>
    </row>
    <row r="268" spans="1:11" s="311" customFormat="1" ht="28.5">
      <c r="A268" s="576"/>
      <c r="B268" s="577"/>
      <c r="C268" s="559"/>
      <c r="D268" s="560"/>
      <c r="E268" s="560"/>
      <c r="F268" s="538"/>
      <c r="G268" s="540" t="s">
        <v>691</v>
      </c>
      <c r="H268" s="541">
        <f>(H267)</f>
        <v>500000</v>
      </c>
      <c r="I268" s="541">
        <f>(I267)</f>
        <v>0</v>
      </c>
      <c r="J268" s="541">
        <f>(J267)</f>
        <v>0</v>
      </c>
      <c r="K268" s="419">
        <f t="shared" si="4"/>
        <v>500000</v>
      </c>
    </row>
    <row r="269" spans="1:11" s="311" customFormat="1" ht="29.25" customHeight="1">
      <c r="A269" s="576"/>
      <c r="B269" s="577"/>
      <c r="C269" s="559"/>
      <c r="D269" s="560"/>
      <c r="E269" s="560"/>
      <c r="F269" s="538"/>
      <c r="G269" s="540" t="s">
        <v>715</v>
      </c>
      <c r="H269" s="541">
        <f>H268+H260</f>
        <v>600000</v>
      </c>
      <c r="I269" s="541">
        <f>I268+I260</f>
        <v>0</v>
      </c>
      <c r="J269" s="541">
        <f>J268+J260</f>
        <v>0</v>
      </c>
      <c r="K269" s="419">
        <f aca="true" t="shared" si="5" ref="K269:K275">SUM(H269:J269)</f>
        <v>600000</v>
      </c>
    </row>
    <row r="270" spans="1:11" s="311" customFormat="1" ht="27.75" customHeight="1">
      <c r="A270" s="576"/>
      <c r="B270" s="577"/>
      <c r="C270" s="563" t="s">
        <v>659</v>
      </c>
      <c r="D270" s="563"/>
      <c r="E270" s="524"/>
      <c r="F270" s="526"/>
      <c r="G270" s="597" t="s">
        <v>658</v>
      </c>
      <c r="H270" s="605"/>
      <c r="I270" s="605"/>
      <c r="J270" s="605"/>
      <c r="K270" s="419">
        <f t="shared" si="5"/>
        <v>0</v>
      </c>
    </row>
    <row r="271" spans="1:11" s="311" customFormat="1" ht="42.75">
      <c r="A271" s="523"/>
      <c r="B271" s="524"/>
      <c r="C271" s="525" t="s">
        <v>382</v>
      </c>
      <c r="D271" s="809"/>
      <c r="E271" s="524"/>
      <c r="F271" s="526"/>
      <c r="G271" s="803" t="s">
        <v>1</v>
      </c>
      <c r="H271" s="527"/>
      <c r="I271" s="527"/>
      <c r="J271" s="527"/>
      <c r="K271" s="419">
        <f t="shared" si="5"/>
        <v>0</v>
      </c>
    </row>
    <row r="272" spans="1:11" s="311" customFormat="1" ht="20.25" customHeight="1">
      <c r="A272" s="576"/>
      <c r="B272" s="577"/>
      <c r="C272" s="563"/>
      <c r="D272" s="593">
        <v>451</v>
      </c>
      <c r="E272" s="529"/>
      <c r="F272" s="530"/>
      <c r="G272" s="594" t="s">
        <v>74</v>
      </c>
      <c r="H272" s="527"/>
      <c r="I272" s="527"/>
      <c r="J272" s="527"/>
      <c r="K272" s="419">
        <f t="shared" si="5"/>
        <v>0</v>
      </c>
    </row>
    <row r="273" spans="1:11" s="311" customFormat="1" ht="39" customHeight="1">
      <c r="A273" s="576"/>
      <c r="B273" s="577"/>
      <c r="C273" s="563"/>
      <c r="D273" s="593"/>
      <c r="E273" s="524">
        <v>75</v>
      </c>
      <c r="F273" s="526">
        <v>424</v>
      </c>
      <c r="G273" s="606" t="s">
        <v>741</v>
      </c>
      <c r="H273" s="534">
        <v>1200000</v>
      </c>
      <c r="I273" s="534"/>
      <c r="J273" s="419"/>
      <c r="K273" s="419">
        <f t="shared" si="5"/>
        <v>1200000</v>
      </c>
    </row>
    <row r="274" spans="1:11" s="311" customFormat="1" ht="26.25" customHeight="1">
      <c r="A274" s="523"/>
      <c r="B274" s="524"/>
      <c r="C274" s="532"/>
      <c r="D274" s="524"/>
      <c r="E274" s="524">
        <v>76</v>
      </c>
      <c r="F274" s="476">
        <v>425</v>
      </c>
      <c r="G274" s="533" t="s">
        <v>231</v>
      </c>
      <c r="H274" s="534">
        <v>5000000</v>
      </c>
      <c r="I274" s="534"/>
      <c r="J274" s="419"/>
      <c r="K274" s="419">
        <f t="shared" si="5"/>
        <v>5000000</v>
      </c>
    </row>
    <row r="275" spans="1:11" s="311" customFormat="1" ht="26.25" customHeight="1">
      <c r="A275" s="523"/>
      <c r="B275" s="524"/>
      <c r="C275" s="532"/>
      <c r="D275" s="524"/>
      <c r="E275" s="524">
        <v>77</v>
      </c>
      <c r="F275" s="476">
        <v>511</v>
      </c>
      <c r="G275" s="533" t="s">
        <v>237</v>
      </c>
      <c r="H275" s="534">
        <v>0</v>
      </c>
      <c r="I275" s="534"/>
      <c r="J275" s="419"/>
      <c r="K275" s="419">
        <f t="shared" si="5"/>
        <v>0</v>
      </c>
    </row>
    <row r="276" spans="1:11" s="311" customFormat="1" ht="38.25" customHeight="1">
      <c r="A276" s="523"/>
      <c r="B276" s="524"/>
      <c r="C276" s="532"/>
      <c r="D276" s="524"/>
      <c r="E276" s="535"/>
      <c r="F276" s="476"/>
      <c r="G276" s="554" t="s">
        <v>3</v>
      </c>
      <c r="H276" s="537"/>
      <c r="I276" s="537"/>
      <c r="J276" s="537"/>
      <c r="K276" s="419">
        <f aca="true" t="shared" si="6" ref="K276:K287">SUM(H276:J276)</f>
        <v>0</v>
      </c>
    </row>
    <row r="277" spans="1:11" s="311" customFormat="1" ht="26.25" customHeight="1">
      <c r="A277" s="523"/>
      <c r="B277" s="524"/>
      <c r="C277" s="532"/>
      <c r="D277" s="524"/>
      <c r="E277" s="524"/>
      <c r="F277" s="538" t="s">
        <v>87</v>
      </c>
      <c r="G277" s="539" t="s">
        <v>88</v>
      </c>
      <c r="H277" s="527"/>
      <c r="I277" s="527"/>
      <c r="J277" s="527"/>
      <c r="K277" s="419">
        <f t="shared" si="6"/>
        <v>0</v>
      </c>
    </row>
    <row r="278" spans="1:11" s="311" customFormat="1" ht="39.75" customHeight="1">
      <c r="A278" s="523"/>
      <c r="B278" s="524"/>
      <c r="C278" s="532"/>
      <c r="D278" s="524"/>
      <c r="E278" s="524"/>
      <c r="F278" s="526"/>
      <c r="G278" s="540" t="s">
        <v>2</v>
      </c>
      <c r="H278" s="541">
        <f>SUM(H273+H274+H275)</f>
        <v>6200000</v>
      </c>
      <c r="I278" s="541">
        <f>SUM(I273+I274+I275)</f>
        <v>0</v>
      </c>
      <c r="J278" s="541">
        <f>SUM(J273+J274+J275)</f>
        <v>0</v>
      </c>
      <c r="K278" s="419">
        <f t="shared" si="6"/>
        <v>6200000</v>
      </c>
    </row>
    <row r="279" spans="1:11" s="311" customFormat="1" ht="15">
      <c r="A279" s="576"/>
      <c r="B279" s="577"/>
      <c r="C279" s="863" t="s">
        <v>660</v>
      </c>
      <c r="D279" s="863"/>
      <c r="E279" s="556"/>
      <c r="F279" s="584"/>
      <c r="G279" s="570" t="s">
        <v>672</v>
      </c>
      <c r="H279" s="527"/>
      <c r="I279" s="527"/>
      <c r="J279" s="527"/>
      <c r="K279" s="419">
        <f t="shared" si="6"/>
        <v>0</v>
      </c>
    </row>
    <row r="280" spans="1:11" s="311" customFormat="1" ht="15">
      <c r="A280" s="576"/>
      <c r="B280" s="577"/>
      <c r="C280" s="563"/>
      <c r="D280" s="586">
        <v>451</v>
      </c>
      <c r="E280" s="556"/>
      <c r="F280" s="584"/>
      <c r="G280" s="580" t="s">
        <v>666</v>
      </c>
      <c r="H280" s="527"/>
      <c r="I280" s="527"/>
      <c r="J280" s="527"/>
      <c r="K280" s="419">
        <f t="shared" si="6"/>
        <v>0</v>
      </c>
    </row>
    <row r="281" spans="1:11" s="311" customFormat="1" ht="45">
      <c r="A281" s="576"/>
      <c r="B281" s="577"/>
      <c r="C281" s="563"/>
      <c r="D281" s="556"/>
      <c r="E281" s="556">
        <v>78</v>
      </c>
      <c r="F281" s="526">
        <v>451</v>
      </c>
      <c r="G281" s="582" t="s">
        <v>476</v>
      </c>
      <c r="H281" s="534">
        <v>2500000</v>
      </c>
      <c r="I281" s="534"/>
      <c r="J281" s="419"/>
      <c r="K281" s="419">
        <f t="shared" si="6"/>
        <v>2500000</v>
      </c>
    </row>
    <row r="282" spans="1:11" s="311" customFormat="1" ht="28.5">
      <c r="A282" s="576"/>
      <c r="B282" s="577"/>
      <c r="C282" s="563"/>
      <c r="D282" s="556"/>
      <c r="E282" s="556"/>
      <c r="F282" s="584"/>
      <c r="G282" s="536" t="s">
        <v>391</v>
      </c>
      <c r="H282" s="537"/>
      <c r="I282" s="537"/>
      <c r="J282" s="537"/>
      <c r="K282" s="419">
        <f t="shared" si="6"/>
        <v>0</v>
      </c>
    </row>
    <row r="283" spans="1:11" s="311" customFormat="1" ht="15">
      <c r="A283" s="576"/>
      <c r="B283" s="577"/>
      <c r="C283" s="563"/>
      <c r="D283" s="556"/>
      <c r="E283" s="556"/>
      <c r="F283" s="538" t="s">
        <v>87</v>
      </c>
      <c r="G283" s="539" t="s">
        <v>88</v>
      </c>
      <c r="H283" s="527"/>
      <c r="I283" s="527"/>
      <c r="J283" s="527"/>
      <c r="K283" s="419">
        <f t="shared" si="6"/>
        <v>0</v>
      </c>
    </row>
    <row r="284" spans="1:11" s="311" customFormat="1" ht="15">
      <c r="A284" s="576"/>
      <c r="B284" s="577"/>
      <c r="C284" s="563"/>
      <c r="D284" s="556"/>
      <c r="E284" s="556"/>
      <c r="F284" s="584"/>
      <c r="G284" s="540" t="s">
        <v>390</v>
      </c>
      <c r="H284" s="541">
        <f>H281</f>
        <v>2500000</v>
      </c>
      <c r="I284" s="541">
        <f>I281</f>
        <v>0</v>
      </c>
      <c r="J284" s="541">
        <f>J281</f>
        <v>0</v>
      </c>
      <c r="K284" s="419">
        <f t="shared" si="6"/>
        <v>2500000</v>
      </c>
    </row>
    <row r="285" spans="1:11" s="311" customFormat="1" ht="42.75">
      <c r="A285" s="576"/>
      <c r="B285" s="577"/>
      <c r="C285" s="563"/>
      <c r="D285" s="556"/>
      <c r="E285" s="556"/>
      <c r="F285" s="584"/>
      <c r="G285" s="554" t="s">
        <v>664</v>
      </c>
      <c r="H285" s="527"/>
      <c r="I285" s="527"/>
      <c r="J285" s="527"/>
      <c r="K285" s="419">
        <f t="shared" si="6"/>
        <v>0</v>
      </c>
    </row>
    <row r="286" spans="1:11" s="311" customFormat="1" ht="15">
      <c r="A286" s="576"/>
      <c r="B286" s="577"/>
      <c r="C286" s="563"/>
      <c r="D286" s="556"/>
      <c r="E286" s="556"/>
      <c r="F286" s="584"/>
      <c r="G286" s="539" t="s">
        <v>88</v>
      </c>
      <c r="H286" s="585"/>
      <c r="I286" s="585"/>
      <c r="J286" s="585"/>
      <c r="K286" s="419">
        <f t="shared" si="6"/>
        <v>0</v>
      </c>
    </row>
    <row r="287" spans="1:11" s="311" customFormat="1" ht="28.5">
      <c r="A287" s="576"/>
      <c r="B287" s="577"/>
      <c r="C287" s="563"/>
      <c r="D287" s="556"/>
      <c r="E287" s="556"/>
      <c r="F287" s="584"/>
      <c r="G287" s="540" t="s">
        <v>665</v>
      </c>
      <c r="H287" s="541">
        <f>H284</f>
        <v>2500000</v>
      </c>
      <c r="I287" s="541">
        <f>I284</f>
        <v>0</v>
      </c>
      <c r="J287" s="541">
        <f>J284</f>
        <v>0</v>
      </c>
      <c r="K287" s="419">
        <f t="shared" si="6"/>
        <v>2500000</v>
      </c>
    </row>
    <row r="288" spans="1:11" s="311" customFormat="1" ht="47.25" customHeight="1">
      <c r="A288" s="523"/>
      <c r="B288" s="524"/>
      <c r="C288" s="863" t="s">
        <v>801</v>
      </c>
      <c r="D288" s="863"/>
      <c r="E288" s="524"/>
      <c r="F288" s="476"/>
      <c r="G288" s="540" t="s">
        <v>798</v>
      </c>
      <c r="H288" s="527"/>
      <c r="I288" s="527"/>
      <c r="J288" s="419"/>
      <c r="K288" s="419"/>
    </row>
    <row r="289" spans="1:11" s="311" customFormat="1" ht="70.5" customHeight="1">
      <c r="A289" s="576"/>
      <c r="B289" s="577"/>
      <c r="C289" s="559"/>
      <c r="D289" s="529">
        <v>360</v>
      </c>
      <c r="E289" s="524"/>
      <c r="F289" s="476"/>
      <c r="G289" s="587" t="s">
        <v>93</v>
      </c>
      <c r="H289" s="527"/>
      <c r="I289" s="527"/>
      <c r="J289" s="527"/>
      <c r="K289" s="419">
        <f>SUM(H289:J289)</f>
        <v>0</v>
      </c>
    </row>
    <row r="290" spans="1:13" s="311" customFormat="1" ht="15">
      <c r="A290" s="576"/>
      <c r="B290" s="577"/>
      <c r="C290" s="559"/>
      <c r="D290" s="524">
        <v>360</v>
      </c>
      <c r="E290" s="524">
        <v>79</v>
      </c>
      <c r="F290" s="588">
        <v>423</v>
      </c>
      <c r="G290" s="874" t="s">
        <v>301</v>
      </c>
      <c r="H290" s="534">
        <v>0</v>
      </c>
      <c r="I290" s="534"/>
      <c r="J290" s="419"/>
      <c r="K290" s="419">
        <f>SUM(H290:J290)</f>
        <v>0</v>
      </c>
      <c r="L290" s="875" t="s">
        <v>899</v>
      </c>
      <c r="M290" s="876"/>
    </row>
    <row r="291" spans="1:13" s="311" customFormat="1" ht="15">
      <c r="A291" s="576"/>
      <c r="B291" s="577"/>
      <c r="C291" s="559"/>
      <c r="D291" s="524">
        <v>451</v>
      </c>
      <c r="E291" s="524">
        <v>80</v>
      </c>
      <c r="F291" s="588">
        <v>425</v>
      </c>
      <c r="G291" s="874" t="s">
        <v>176</v>
      </c>
      <c r="H291" s="534">
        <v>0</v>
      </c>
      <c r="I291" s="534">
        <v>0</v>
      </c>
      <c r="J291" s="419"/>
      <c r="K291" s="419">
        <f>SUM(H291:J291)</f>
        <v>0</v>
      </c>
      <c r="L291" s="877"/>
      <c r="M291" s="876"/>
    </row>
    <row r="292" spans="1:13" s="311" customFormat="1" ht="15">
      <c r="A292" s="576"/>
      <c r="B292" s="577"/>
      <c r="C292" s="559"/>
      <c r="D292" s="556">
        <v>360</v>
      </c>
      <c r="E292" s="524">
        <v>81</v>
      </c>
      <c r="F292" s="588">
        <v>426</v>
      </c>
      <c r="G292" s="874" t="s">
        <v>307</v>
      </c>
      <c r="H292" s="534">
        <v>0</v>
      </c>
      <c r="I292" s="534">
        <v>0</v>
      </c>
      <c r="J292" s="419"/>
      <c r="K292" s="419">
        <f>SUM(H292:J292)</f>
        <v>0</v>
      </c>
      <c r="L292" s="877"/>
      <c r="M292" s="876"/>
    </row>
    <row r="293" spans="1:13" s="311" customFormat="1" ht="15">
      <c r="A293" s="576"/>
      <c r="B293" s="577"/>
      <c r="C293" s="559"/>
      <c r="D293" s="556">
        <v>360</v>
      </c>
      <c r="E293" s="524">
        <v>82</v>
      </c>
      <c r="F293" s="588">
        <v>512</v>
      </c>
      <c r="G293" s="874" t="s">
        <v>238</v>
      </c>
      <c r="H293" s="534">
        <v>0</v>
      </c>
      <c r="I293" s="534">
        <v>0</v>
      </c>
      <c r="J293" s="419"/>
      <c r="K293" s="419">
        <f>SUM(H293:J293)</f>
        <v>0</v>
      </c>
      <c r="L293" s="877"/>
      <c r="M293" s="876"/>
    </row>
    <row r="294" spans="1:11" s="311" customFormat="1" ht="15">
      <c r="A294" s="576"/>
      <c r="B294" s="577"/>
      <c r="C294" s="559"/>
      <c r="D294" s="524"/>
      <c r="E294" s="524"/>
      <c r="F294" s="526"/>
      <c r="G294" s="536" t="s">
        <v>411</v>
      </c>
      <c r="H294" s="537">
        <f>SUM(H290:H293)-(H291)</f>
        <v>0</v>
      </c>
      <c r="I294" s="537">
        <f>SUM(I290:I293)-(I291)</f>
        <v>0</v>
      </c>
      <c r="J294" s="537">
        <f>SUM(J290:J293)-(J291)</f>
        <v>0</v>
      </c>
      <c r="K294" s="537">
        <f>SUM(K290:K293)-(K291)</f>
        <v>0</v>
      </c>
    </row>
    <row r="295" spans="1:11" s="311" customFormat="1" ht="15">
      <c r="A295" s="576"/>
      <c r="B295" s="577"/>
      <c r="C295" s="559"/>
      <c r="D295" s="524"/>
      <c r="E295" s="524"/>
      <c r="F295" s="526"/>
      <c r="G295" s="536" t="s">
        <v>390</v>
      </c>
      <c r="H295" s="537">
        <f>H291</f>
        <v>0</v>
      </c>
      <c r="I295" s="537">
        <f>I291</f>
        <v>0</v>
      </c>
      <c r="J295" s="537">
        <f>J291</f>
        <v>0</v>
      </c>
      <c r="K295" s="419">
        <f aca="true" t="shared" si="7" ref="K295:K300">SUM(H295:J295)</f>
        <v>0</v>
      </c>
    </row>
    <row r="296" spans="1:11" s="311" customFormat="1" ht="28.5">
      <c r="A296" s="523"/>
      <c r="B296" s="524"/>
      <c r="C296" s="532"/>
      <c r="D296" s="524"/>
      <c r="E296" s="535"/>
      <c r="F296" s="476"/>
      <c r="G296" s="554" t="s">
        <v>391</v>
      </c>
      <c r="H296" s="537"/>
      <c r="I296" s="537"/>
      <c r="J296" s="537"/>
      <c r="K296" s="419">
        <f t="shared" si="7"/>
        <v>0</v>
      </c>
    </row>
    <row r="297" spans="1:11" s="311" customFormat="1" ht="15">
      <c r="A297" s="523"/>
      <c r="B297" s="524"/>
      <c r="C297" s="532"/>
      <c r="D297" s="524"/>
      <c r="E297" s="524"/>
      <c r="F297" s="538" t="s">
        <v>87</v>
      </c>
      <c r="G297" s="539" t="s">
        <v>88</v>
      </c>
      <c r="H297" s="527"/>
      <c r="I297" s="527"/>
      <c r="J297" s="527"/>
      <c r="K297" s="419">
        <f t="shared" si="7"/>
        <v>0</v>
      </c>
    </row>
    <row r="298" spans="1:11" s="311" customFormat="1" ht="15">
      <c r="A298" s="523"/>
      <c r="B298" s="524"/>
      <c r="C298" s="532"/>
      <c r="D298" s="524"/>
      <c r="E298" s="524"/>
      <c r="F298" s="526"/>
      <c r="G298" s="540" t="s">
        <v>390</v>
      </c>
      <c r="H298" s="541">
        <f>SUM(H273:H275)+H291</f>
        <v>6200000</v>
      </c>
      <c r="I298" s="541">
        <f>SUM(I273:I275)+I291</f>
        <v>0</v>
      </c>
      <c r="J298" s="541">
        <f>SUM(J273:J275)+J291</f>
        <v>0</v>
      </c>
      <c r="K298" s="419">
        <f t="shared" si="7"/>
        <v>6200000</v>
      </c>
    </row>
    <row r="299" spans="1:11" s="311" customFormat="1" ht="42.75">
      <c r="A299" s="523"/>
      <c r="B299" s="524"/>
      <c r="C299" s="532"/>
      <c r="D299" s="524"/>
      <c r="E299" s="535"/>
      <c r="F299" s="476"/>
      <c r="G299" s="554" t="s">
        <v>800</v>
      </c>
      <c r="H299" s="537"/>
      <c r="I299" s="537"/>
      <c r="J299" s="537"/>
      <c r="K299" s="419">
        <f t="shared" si="7"/>
        <v>0</v>
      </c>
    </row>
    <row r="300" spans="1:11" s="311" customFormat="1" ht="15">
      <c r="A300" s="523"/>
      <c r="B300" s="524"/>
      <c r="C300" s="532"/>
      <c r="D300" s="524"/>
      <c r="E300" s="524"/>
      <c r="F300" s="538" t="s">
        <v>87</v>
      </c>
      <c r="G300" s="539" t="s">
        <v>88</v>
      </c>
      <c r="H300" s="527"/>
      <c r="I300" s="527"/>
      <c r="J300" s="527"/>
      <c r="K300" s="419">
        <f t="shared" si="7"/>
        <v>0</v>
      </c>
    </row>
    <row r="301" spans="1:11" s="311" customFormat="1" ht="28.5">
      <c r="A301" s="523"/>
      <c r="B301" s="524"/>
      <c r="C301" s="532"/>
      <c r="D301" s="524"/>
      <c r="E301" s="524"/>
      <c r="F301" s="526"/>
      <c r="G301" s="540" t="s">
        <v>799</v>
      </c>
      <c r="H301" s="541">
        <f>SUM(H290+H291+H292+H293)</f>
        <v>0</v>
      </c>
      <c r="I301" s="541">
        <f>SUM(I290+I291+I292+I293)</f>
        <v>0</v>
      </c>
      <c r="J301" s="541">
        <f>SUM(J290+J291+J292+J293)</f>
        <v>0</v>
      </c>
      <c r="K301" s="541">
        <f>SUM(K290+K291+K292+K293)</f>
        <v>0</v>
      </c>
    </row>
    <row r="302" spans="1:11" s="311" customFormat="1" ht="15">
      <c r="A302" s="576"/>
      <c r="B302" s="577"/>
      <c r="C302" s="559"/>
      <c r="D302" s="560"/>
      <c r="E302" s="560"/>
      <c r="F302" s="526"/>
      <c r="G302" s="540" t="s">
        <v>671</v>
      </c>
      <c r="H302" s="541">
        <f>(H278+H287+H301)</f>
        <v>8700000</v>
      </c>
      <c r="I302" s="541">
        <f>(I278+I287+I301)</f>
        <v>0</v>
      </c>
      <c r="J302" s="541">
        <f>(J278+J287+J301)</f>
        <v>0</v>
      </c>
      <c r="K302" s="541">
        <f>(K278+K287+K301)</f>
        <v>8700000</v>
      </c>
    </row>
    <row r="303" spans="1:11" s="311" customFormat="1" ht="15">
      <c r="A303" s="523"/>
      <c r="B303" s="524"/>
      <c r="C303" s="525" t="s">
        <v>404</v>
      </c>
      <c r="D303" s="524"/>
      <c r="E303" s="524"/>
      <c r="F303" s="526"/>
      <c r="G303" s="607" t="s">
        <v>344</v>
      </c>
      <c r="H303" s="527"/>
      <c r="I303" s="527"/>
      <c r="J303" s="527"/>
      <c r="K303" s="419">
        <f>SUM(H303:J303)</f>
        <v>0</v>
      </c>
    </row>
    <row r="304" spans="1:11" s="311" customFormat="1" ht="42.75">
      <c r="A304" s="523"/>
      <c r="B304" s="524"/>
      <c r="C304" s="525" t="s">
        <v>862</v>
      </c>
      <c r="D304" s="809"/>
      <c r="E304" s="524"/>
      <c r="F304" s="526"/>
      <c r="G304" s="806" t="s">
        <v>261</v>
      </c>
      <c r="H304" s="527"/>
      <c r="I304" s="527"/>
      <c r="J304" s="527"/>
      <c r="K304" s="419">
        <f>SUM(H304:J304)</f>
        <v>0</v>
      </c>
    </row>
    <row r="305" spans="1:11" s="311" customFormat="1" ht="15">
      <c r="A305" s="523"/>
      <c r="B305" s="524"/>
      <c r="C305" s="525"/>
      <c r="D305" s="529">
        <v>911</v>
      </c>
      <c r="E305" s="608"/>
      <c r="F305" s="530"/>
      <c r="G305" s="531" t="s">
        <v>84</v>
      </c>
      <c r="H305" s="527"/>
      <c r="I305" s="527"/>
      <c r="J305" s="527"/>
      <c r="K305" s="419">
        <f>SUM(H305:J305)</f>
        <v>0</v>
      </c>
    </row>
    <row r="306" spans="1:11" s="311" customFormat="1" ht="28.5">
      <c r="A306" s="523"/>
      <c r="B306" s="524"/>
      <c r="C306" s="532"/>
      <c r="D306" s="524"/>
      <c r="E306" s="524"/>
      <c r="F306" s="476"/>
      <c r="G306" s="536" t="s">
        <v>370</v>
      </c>
      <c r="H306" s="537"/>
      <c r="I306" s="537"/>
      <c r="J306" s="537"/>
      <c r="K306" s="419">
        <f>SUM(H306:J306)</f>
        <v>0</v>
      </c>
    </row>
    <row r="307" spans="1:11" s="311" customFormat="1" ht="15">
      <c r="A307" s="523"/>
      <c r="B307" s="524"/>
      <c r="C307" s="532"/>
      <c r="D307" s="524"/>
      <c r="E307" s="524">
        <v>83</v>
      </c>
      <c r="F307" s="476">
        <v>423</v>
      </c>
      <c r="G307" s="609" t="s">
        <v>301</v>
      </c>
      <c r="H307" s="534">
        <v>100000</v>
      </c>
      <c r="I307" s="608"/>
      <c r="J307" s="534"/>
      <c r="K307" s="419">
        <f>SUM(H307:J307)</f>
        <v>100000</v>
      </c>
    </row>
    <row r="308" spans="1:11" s="311" customFormat="1" ht="15">
      <c r="A308" s="576"/>
      <c r="B308" s="577"/>
      <c r="C308" s="559"/>
      <c r="D308" s="560"/>
      <c r="E308" s="560"/>
      <c r="F308" s="526"/>
      <c r="G308" s="539" t="s">
        <v>88</v>
      </c>
      <c r="H308" s="527"/>
      <c r="I308" s="527"/>
      <c r="J308" s="527"/>
      <c r="K308" s="419"/>
    </row>
    <row r="309" spans="1:11" s="311" customFormat="1" ht="15">
      <c r="A309" s="576"/>
      <c r="B309" s="577"/>
      <c r="C309" s="559"/>
      <c r="D309" s="560"/>
      <c r="E309" s="560"/>
      <c r="F309" s="526"/>
      <c r="G309" s="540" t="s">
        <v>371</v>
      </c>
      <c r="H309" s="541">
        <f>SUM(H307:H307)</f>
        <v>100000</v>
      </c>
      <c r="I309" s="541">
        <f>SUM(I307:I307)</f>
        <v>0</v>
      </c>
      <c r="J309" s="541">
        <f>SUM(J307:J307)</f>
        <v>0</v>
      </c>
      <c r="K309" s="610">
        <f>SUM(K307:K307)</f>
        <v>100000</v>
      </c>
    </row>
    <row r="310" spans="1:11" s="311" customFormat="1" ht="42.75">
      <c r="A310" s="576"/>
      <c r="B310" s="577"/>
      <c r="C310" s="559"/>
      <c r="D310" s="560"/>
      <c r="E310" s="560"/>
      <c r="F310" s="526"/>
      <c r="G310" s="554" t="s">
        <v>378</v>
      </c>
      <c r="H310" s="541"/>
      <c r="I310" s="541"/>
      <c r="J310" s="541"/>
      <c r="K310" s="419">
        <f>SUM(H310:J310)</f>
        <v>0</v>
      </c>
    </row>
    <row r="311" spans="1:11" s="311" customFormat="1" ht="15">
      <c r="A311" s="576"/>
      <c r="B311" s="577"/>
      <c r="C311" s="559"/>
      <c r="D311" s="560"/>
      <c r="E311" s="560"/>
      <c r="F311" s="526"/>
      <c r="G311" s="539" t="s">
        <v>88</v>
      </c>
      <c r="H311" s="585"/>
      <c r="I311" s="585"/>
      <c r="J311" s="585"/>
      <c r="K311" s="419">
        <f>SUM(H311:J311)</f>
        <v>0</v>
      </c>
    </row>
    <row r="312" spans="1:11" s="311" customFormat="1" ht="28.5">
      <c r="A312" s="576"/>
      <c r="B312" s="577"/>
      <c r="C312" s="559"/>
      <c r="D312" s="560"/>
      <c r="E312" s="560"/>
      <c r="F312" s="526"/>
      <c r="G312" s="540" t="s">
        <v>379</v>
      </c>
      <c r="H312" s="541">
        <f>H309</f>
        <v>100000</v>
      </c>
      <c r="I312" s="541">
        <f>I309</f>
        <v>0</v>
      </c>
      <c r="J312" s="541">
        <f>J309</f>
        <v>0</v>
      </c>
      <c r="K312" s="610">
        <f>K309</f>
        <v>100000</v>
      </c>
    </row>
    <row r="313" spans="1:11" s="311" customFormat="1" ht="15">
      <c r="A313" s="576"/>
      <c r="B313" s="577"/>
      <c r="C313" s="559"/>
      <c r="D313" s="560"/>
      <c r="E313" s="560"/>
      <c r="F313" s="526"/>
      <c r="G313" s="540" t="s">
        <v>770</v>
      </c>
      <c r="H313" s="541">
        <f>(H312)</f>
        <v>100000</v>
      </c>
      <c r="I313" s="541">
        <f>(I312)</f>
        <v>0</v>
      </c>
      <c r="J313" s="541">
        <f>(J312)</f>
        <v>0</v>
      </c>
      <c r="K313" s="610">
        <f>(K312)</f>
        <v>100000</v>
      </c>
    </row>
    <row r="314" spans="1:11" s="311" customFormat="1" ht="27.75" customHeight="1">
      <c r="A314" s="576"/>
      <c r="B314" s="577"/>
      <c r="C314" s="559">
        <v>2003</v>
      </c>
      <c r="D314" s="560"/>
      <c r="E314" s="560"/>
      <c r="F314" s="526"/>
      <c r="G314" s="570" t="s">
        <v>700</v>
      </c>
      <c r="H314" s="527"/>
      <c r="I314" s="527"/>
      <c r="J314" s="527"/>
      <c r="K314" s="419">
        <f aca="true" t="shared" si="8" ref="K314:K331">SUM(H314:J314)</f>
        <v>0</v>
      </c>
    </row>
    <row r="315" spans="1:11" s="311" customFormat="1" ht="42.75">
      <c r="A315" s="576"/>
      <c r="B315" s="577"/>
      <c r="C315" s="867" t="s">
        <v>347</v>
      </c>
      <c r="D315" s="868"/>
      <c r="E315" s="524"/>
      <c r="F315" s="526"/>
      <c r="G315" s="806" t="s">
        <v>268</v>
      </c>
      <c r="H315" s="585"/>
      <c r="I315" s="585"/>
      <c r="J315" s="585"/>
      <c r="K315" s="419">
        <f t="shared" si="8"/>
        <v>0</v>
      </c>
    </row>
    <row r="316" spans="1:11" s="311" customFormat="1" ht="15">
      <c r="A316" s="576"/>
      <c r="B316" s="577"/>
      <c r="C316" s="525"/>
      <c r="D316" s="529">
        <v>912</v>
      </c>
      <c r="E316" s="529"/>
      <c r="F316" s="530"/>
      <c r="G316" s="531" t="s">
        <v>85</v>
      </c>
      <c r="H316" s="585"/>
      <c r="I316" s="585"/>
      <c r="J316" s="585"/>
      <c r="K316" s="419">
        <f t="shared" si="8"/>
        <v>0</v>
      </c>
    </row>
    <row r="317" spans="1:11" s="311" customFormat="1" ht="41.25" customHeight="1">
      <c r="A317" s="576"/>
      <c r="B317" s="577"/>
      <c r="C317" s="559"/>
      <c r="D317" s="560"/>
      <c r="E317" s="564">
        <v>84</v>
      </c>
      <c r="F317" s="526">
        <v>463</v>
      </c>
      <c r="G317" s="582" t="s">
        <v>117</v>
      </c>
      <c r="H317" s="534">
        <v>24000000</v>
      </c>
      <c r="I317" s="534"/>
      <c r="J317" s="419"/>
      <c r="K317" s="419">
        <f t="shared" si="8"/>
        <v>24000000</v>
      </c>
    </row>
    <row r="318" spans="1:11" s="311" customFormat="1" ht="43.5" customHeight="1">
      <c r="A318" s="576"/>
      <c r="B318" s="577"/>
      <c r="C318" s="559"/>
      <c r="D318" s="560"/>
      <c r="E318" s="564">
        <v>85</v>
      </c>
      <c r="F318" s="526">
        <v>463</v>
      </c>
      <c r="G318" s="582" t="s">
        <v>118</v>
      </c>
      <c r="H318" s="534">
        <v>0</v>
      </c>
      <c r="I318" s="419"/>
      <c r="J318" s="419"/>
      <c r="K318" s="419">
        <f t="shared" si="8"/>
        <v>0</v>
      </c>
    </row>
    <row r="319" spans="1:11" s="311" customFormat="1" ht="28.5">
      <c r="A319" s="576"/>
      <c r="B319" s="577"/>
      <c r="C319" s="559"/>
      <c r="D319" s="560"/>
      <c r="E319" s="560"/>
      <c r="F319" s="526"/>
      <c r="G319" s="536" t="s">
        <v>372</v>
      </c>
      <c r="H319" s="537"/>
      <c r="I319" s="537"/>
      <c r="J319" s="537"/>
      <c r="K319" s="419">
        <f t="shared" si="8"/>
        <v>0</v>
      </c>
    </row>
    <row r="320" spans="1:11" s="311" customFormat="1" ht="15">
      <c r="A320" s="576"/>
      <c r="B320" s="577"/>
      <c r="C320" s="559"/>
      <c r="D320" s="560"/>
      <c r="E320" s="560"/>
      <c r="F320" s="526"/>
      <c r="G320" s="539" t="s">
        <v>88</v>
      </c>
      <c r="H320" s="527"/>
      <c r="I320" s="527"/>
      <c r="J320" s="527"/>
      <c r="K320" s="419">
        <f t="shared" si="8"/>
        <v>0</v>
      </c>
    </row>
    <row r="321" spans="1:11" s="311" customFormat="1" ht="15">
      <c r="A321" s="576"/>
      <c r="B321" s="577"/>
      <c r="C321" s="559"/>
      <c r="D321" s="560"/>
      <c r="E321" s="560"/>
      <c r="F321" s="526"/>
      <c r="G321" s="540" t="s">
        <v>373</v>
      </c>
      <c r="H321" s="541">
        <f>H317+H318</f>
        <v>24000000</v>
      </c>
      <c r="I321" s="541">
        <f>I317+I318</f>
        <v>0</v>
      </c>
      <c r="J321" s="541">
        <f>J317+J318</f>
        <v>0</v>
      </c>
      <c r="K321" s="419">
        <f t="shared" si="8"/>
        <v>24000000</v>
      </c>
    </row>
    <row r="322" spans="1:11" s="311" customFormat="1" ht="42.75">
      <c r="A322" s="576"/>
      <c r="B322" s="577"/>
      <c r="C322" s="559"/>
      <c r="D322" s="560"/>
      <c r="E322" s="560"/>
      <c r="F322" s="526"/>
      <c r="G322" s="554" t="s">
        <v>376</v>
      </c>
      <c r="H322" s="541"/>
      <c r="I322" s="541"/>
      <c r="J322" s="541"/>
      <c r="K322" s="419">
        <f t="shared" si="8"/>
        <v>0</v>
      </c>
    </row>
    <row r="323" spans="1:11" s="311" customFormat="1" ht="15">
      <c r="A323" s="576"/>
      <c r="B323" s="577"/>
      <c r="C323" s="559"/>
      <c r="D323" s="560"/>
      <c r="E323" s="560"/>
      <c r="F323" s="526"/>
      <c r="G323" s="539" t="s">
        <v>88</v>
      </c>
      <c r="H323" s="585"/>
      <c r="I323" s="585"/>
      <c r="J323" s="585"/>
      <c r="K323" s="419">
        <f t="shared" si="8"/>
        <v>0</v>
      </c>
    </row>
    <row r="324" spans="1:11" s="311" customFormat="1" ht="28.5">
      <c r="A324" s="576"/>
      <c r="B324" s="577"/>
      <c r="C324" s="559"/>
      <c r="D324" s="560"/>
      <c r="E324" s="560"/>
      <c r="F324" s="526"/>
      <c r="G324" s="540" t="s">
        <v>377</v>
      </c>
      <c r="H324" s="541">
        <f>H321</f>
        <v>24000000</v>
      </c>
      <c r="I324" s="541">
        <f>I321</f>
        <v>0</v>
      </c>
      <c r="J324" s="541">
        <f>J321</f>
        <v>0</v>
      </c>
      <c r="K324" s="419">
        <f t="shared" si="8"/>
        <v>24000000</v>
      </c>
    </row>
    <row r="325" spans="1:11" s="311" customFormat="1" ht="15">
      <c r="A325" s="576"/>
      <c r="B325" s="577"/>
      <c r="C325" s="559"/>
      <c r="D325" s="560"/>
      <c r="E325" s="560"/>
      <c r="F325" s="526"/>
      <c r="G325" s="540" t="s">
        <v>701</v>
      </c>
      <c r="H325" s="541">
        <f>(H324)</f>
        <v>24000000</v>
      </c>
      <c r="I325" s="541">
        <f>(I324)</f>
        <v>0</v>
      </c>
      <c r="J325" s="541">
        <f>(J324)</f>
        <v>0</v>
      </c>
      <c r="K325" s="419">
        <f t="shared" si="8"/>
        <v>24000000</v>
      </c>
    </row>
    <row r="326" spans="1:11" s="311" customFormat="1" ht="28.5" customHeight="1">
      <c r="A326" s="576"/>
      <c r="B326" s="577"/>
      <c r="C326" s="611" t="s">
        <v>859</v>
      </c>
      <c r="D326" s="612"/>
      <c r="E326" s="524"/>
      <c r="F326" s="526"/>
      <c r="G326" s="860" t="s">
        <v>346</v>
      </c>
      <c r="H326" s="860"/>
      <c r="I326" s="806"/>
      <c r="J326" s="806"/>
      <c r="K326" s="419">
        <f t="shared" si="8"/>
        <v>0</v>
      </c>
    </row>
    <row r="327" spans="1:11" s="311" customFormat="1" ht="42.75">
      <c r="A327" s="576"/>
      <c r="B327" s="613"/>
      <c r="C327" s="462" t="s">
        <v>858</v>
      </c>
      <c r="D327" s="463"/>
      <c r="E327" s="614"/>
      <c r="F327" s="526"/>
      <c r="G327" s="806" t="s">
        <v>260</v>
      </c>
      <c r="H327" s="541"/>
      <c r="I327" s="541"/>
      <c r="J327" s="541"/>
      <c r="K327" s="419">
        <f t="shared" si="8"/>
        <v>0</v>
      </c>
    </row>
    <row r="328" spans="1:11" s="311" customFormat="1" ht="15">
      <c r="A328" s="576"/>
      <c r="B328" s="577"/>
      <c r="C328" s="615"/>
      <c r="D328" s="616">
        <v>920</v>
      </c>
      <c r="E328" s="529"/>
      <c r="F328" s="530"/>
      <c r="G328" s="531" t="s">
        <v>86</v>
      </c>
      <c r="H328" s="541"/>
      <c r="I328" s="541"/>
      <c r="J328" s="541"/>
      <c r="K328" s="419">
        <f t="shared" si="8"/>
        <v>0</v>
      </c>
    </row>
    <row r="329" spans="1:11" s="311" customFormat="1" ht="30">
      <c r="A329" s="576"/>
      <c r="B329" s="577"/>
      <c r="C329" s="559"/>
      <c r="D329" s="560"/>
      <c r="E329" s="564">
        <v>86</v>
      </c>
      <c r="F329" s="526">
        <v>463</v>
      </c>
      <c r="G329" s="582" t="s">
        <v>117</v>
      </c>
      <c r="H329" s="534">
        <v>9000000</v>
      </c>
      <c r="I329" s="534"/>
      <c r="J329" s="419"/>
      <c r="K329" s="419">
        <f t="shared" si="8"/>
        <v>9000000</v>
      </c>
    </row>
    <row r="330" spans="1:11" s="311" customFormat="1" ht="28.5">
      <c r="A330" s="576"/>
      <c r="B330" s="577"/>
      <c r="C330" s="559"/>
      <c r="D330" s="560"/>
      <c r="E330" s="564"/>
      <c r="F330" s="526"/>
      <c r="G330" s="536" t="s">
        <v>372</v>
      </c>
      <c r="H330" s="537"/>
      <c r="I330" s="537"/>
      <c r="J330" s="537"/>
      <c r="K330" s="419">
        <f t="shared" si="8"/>
        <v>0</v>
      </c>
    </row>
    <row r="331" spans="1:11" s="311" customFormat="1" ht="15">
      <c r="A331" s="576"/>
      <c r="B331" s="577"/>
      <c r="C331" s="559"/>
      <c r="D331" s="560"/>
      <c r="E331" s="560"/>
      <c r="F331" s="526"/>
      <c r="G331" s="539" t="s">
        <v>88</v>
      </c>
      <c r="H331" s="527"/>
      <c r="I331" s="527"/>
      <c r="J331" s="527"/>
      <c r="K331" s="419">
        <f t="shared" si="8"/>
        <v>0</v>
      </c>
    </row>
    <row r="332" spans="1:11" s="311" customFormat="1" ht="15">
      <c r="A332" s="576"/>
      <c r="B332" s="577"/>
      <c r="C332" s="559"/>
      <c r="D332" s="560"/>
      <c r="E332" s="560"/>
      <c r="F332" s="526"/>
      <c r="G332" s="540" t="s">
        <v>373</v>
      </c>
      <c r="H332" s="541">
        <f>H329</f>
        <v>9000000</v>
      </c>
      <c r="I332" s="541">
        <f>I329</f>
        <v>0</v>
      </c>
      <c r="J332" s="541">
        <f>J329</f>
        <v>0</v>
      </c>
      <c r="K332" s="541">
        <f>K329</f>
        <v>9000000</v>
      </c>
    </row>
    <row r="333" spans="1:11" s="311" customFormat="1" ht="42.75">
      <c r="A333" s="576"/>
      <c r="B333" s="577"/>
      <c r="C333" s="559"/>
      <c r="D333" s="560"/>
      <c r="E333" s="560"/>
      <c r="F333" s="526"/>
      <c r="G333" s="554" t="s">
        <v>374</v>
      </c>
      <c r="H333" s="527"/>
      <c r="I333" s="527"/>
      <c r="J333" s="527"/>
      <c r="K333" s="419">
        <f aca="true" t="shared" si="9" ref="K333:K368">SUM(H333:J333)</f>
        <v>0</v>
      </c>
    </row>
    <row r="334" spans="1:11" s="311" customFormat="1" ht="15">
      <c r="A334" s="617"/>
      <c r="B334" s="618"/>
      <c r="C334" s="619"/>
      <c r="D334" s="560"/>
      <c r="E334" s="560"/>
      <c r="F334" s="526"/>
      <c r="G334" s="539" t="s">
        <v>88</v>
      </c>
      <c r="H334" s="585"/>
      <c r="I334" s="585"/>
      <c r="J334" s="585"/>
      <c r="K334" s="419">
        <f t="shared" si="9"/>
        <v>0</v>
      </c>
    </row>
    <row r="335" spans="1:11" s="311" customFormat="1" ht="28.5">
      <c r="A335" s="620"/>
      <c r="B335" s="621"/>
      <c r="C335" s="622"/>
      <c r="D335" s="623"/>
      <c r="E335" s="560"/>
      <c r="F335" s="526"/>
      <c r="G335" s="540" t="s">
        <v>375</v>
      </c>
      <c r="H335" s="541">
        <f>H332</f>
        <v>9000000</v>
      </c>
      <c r="I335" s="541">
        <f>I332</f>
        <v>0</v>
      </c>
      <c r="J335" s="541">
        <f>J332</f>
        <v>0</v>
      </c>
      <c r="K335" s="419">
        <f t="shared" si="9"/>
        <v>9000000</v>
      </c>
    </row>
    <row r="336" spans="1:11" s="311" customFormat="1" ht="15">
      <c r="A336" s="620"/>
      <c r="B336" s="621"/>
      <c r="C336" s="622"/>
      <c r="D336" s="623"/>
      <c r="E336" s="560"/>
      <c r="F336" s="526"/>
      <c r="G336" s="540" t="s">
        <v>759</v>
      </c>
      <c r="H336" s="541">
        <f>(H335)</f>
        <v>9000000</v>
      </c>
      <c r="I336" s="541">
        <f>(I335)</f>
        <v>0</v>
      </c>
      <c r="J336" s="541">
        <f>(J335)</f>
        <v>0</v>
      </c>
      <c r="K336" s="419">
        <f t="shared" si="9"/>
        <v>9000000</v>
      </c>
    </row>
    <row r="337" spans="1:11" s="311" customFormat="1" ht="15">
      <c r="A337" s="620"/>
      <c r="B337" s="621"/>
      <c r="C337" s="622"/>
      <c r="D337" s="623"/>
      <c r="E337" s="560"/>
      <c r="F337" s="526"/>
      <c r="G337" s="540"/>
      <c r="H337" s="541"/>
      <c r="I337" s="541"/>
      <c r="J337" s="541"/>
      <c r="K337" s="419">
        <f t="shared" si="9"/>
        <v>0</v>
      </c>
    </row>
    <row r="338" spans="1:11" s="311" customFormat="1" ht="15">
      <c r="A338" s="620"/>
      <c r="B338" s="621"/>
      <c r="C338" s="624" t="s">
        <v>406</v>
      </c>
      <c r="D338" s="625"/>
      <c r="E338" s="524"/>
      <c r="F338" s="526"/>
      <c r="G338" s="570" t="s">
        <v>357</v>
      </c>
      <c r="H338" s="527"/>
      <c r="I338" s="527"/>
      <c r="J338" s="527"/>
      <c r="K338" s="419">
        <f t="shared" si="9"/>
        <v>0</v>
      </c>
    </row>
    <row r="339" spans="1:11" s="311" customFormat="1" ht="28.5">
      <c r="A339" s="626"/>
      <c r="B339" s="626"/>
      <c r="C339" s="627" t="s">
        <v>184</v>
      </c>
      <c r="D339" s="628"/>
      <c r="E339" s="524"/>
      <c r="F339" s="526"/>
      <c r="G339" s="803" t="s">
        <v>264</v>
      </c>
      <c r="H339" s="527"/>
      <c r="I339" s="527"/>
      <c r="J339" s="527"/>
      <c r="K339" s="419">
        <f t="shared" si="9"/>
        <v>0</v>
      </c>
    </row>
    <row r="340" spans="1:11" s="311" customFormat="1" ht="15">
      <c r="A340" s="620"/>
      <c r="B340" s="621"/>
      <c r="C340" s="624"/>
      <c r="D340" s="629" t="s">
        <v>169</v>
      </c>
      <c r="E340" s="529"/>
      <c r="F340" s="530"/>
      <c r="G340" s="594" t="s">
        <v>334</v>
      </c>
      <c r="H340" s="527"/>
      <c r="I340" s="527"/>
      <c r="J340" s="527"/>
      <c r="K340" s="419">
        <f t="shared" si="9"/>
        <v>0</v>
      </c>
    </row>
    <row r="341" spans="1:11" s="311" customFormat="1" ht="60">
      <c r="A341" s="626"/>
      <c r="B341" s="626"/>
      <c r="C341" s="630"/>
      <c r="D341" s="614"/>
      <c r="E341" s="524">
        <v>87</v>
      </c>
      <c r="F341" s="476">
        <v>472</v>
      </c>
      <c r="G341" s="533" t="s">
        <v>465</v>
      </c>
      <c r="H341" s="534">
        <v>500000</v>
      </c>
      <c r="I341" s="534"/>
      <c r="J341" s="419"/>
      <c r="K341" s="419">
        <f t="shared" si="9"/>
        <v>500000</v>
      </c>
    </row>
    <row r="342" spans="1:11" s="311" customFormat="1" ht="28.5">
      <c r="A342" s="626"/>
      <c r="B342" s="626"/>
      <c r="C342" s="630"/>
      <c r="D342" s="614"/>
      <c r="E342" s="535"/>
      <c r="F342" s="476"/>
      <c r="G342" s="554" t="s">
        <v>392</v>
      </c>
      <c r="H342" s="537"/>
      <c r="I342" s="537"/>
      <c r="J342" s="537"/>
      <c r="K342" s="419">
        <f t="shared" si="9"/>
        <v>0</v>
      </c>
    </row>
    <row r="343" spans="1:11" s="311" customFormat="1" ht="15">
      <c r="A343" s="626"/>
      <c r="B343" s="626"/>
      <c r="C343" s="630"/>
      <c r="D343" s="614"/>
      <c r="E343" s="524"/>
      <c r="F343" s="526"/>
      <c r="G343" s="540" t="s">
        <v>393</v>
      </c>
      <c r="H343" s="541">
        <f>SUM(H341:H341)</f>
        <v>500000</v>
      </c>
      <c r="I343" s="541">
        <f>SUM(I341:I341)</f>
        <v>0</v>
      </c>
      <c r="J343" s="541">
        <f>SUM(J341:J341)</f>
        <v>0</v>
      </c>
      <c r="K343" s="541">
        <f>SUM(K341:K341)</f>
        <v>500000</v>
      </c>
    </row>
    <row r="344" spans="1:11" s="311" customFormat="1" ht="42.75" collapsed="1">
      <c r="A344" s="626"/>
      <c r="B344" s="626"/>
      <c r="C344" s="630"/>
      <c r="D344" s="614"/>
      <c r="E344" s="535"/>
      <c r="F344" s="476"/>
      <c r="G344" s="554" t="s">
        <v>358</v>
      </c>
      <c r="H344" s="537"/>
      <c r="I344" s="537"/>
      <c r="J344" s="537"/>
      <c r="K344" s="419">
        <f t="shared" si="9"/>
        <v>0</v>
      </c>
    </row>
    <row r="345" spans="1:11" s="311" customFormat="1" ht="28.5" collapsed="1">
      <c r="A345" s="626"/>
      <c r="B345" s="626"/>
      <c r="C345" s="631"/>
      <c r="D345" s="632"/>
      <c r="E345" s="524"/>
      <c r="F345" s="526"/>
      <c r="G345" s="540" t="s">
        <v>275</v>
      </c>
      <c r="H345" s="541">
        <f>H343</f>
        <v>500000</v>
      </c>
      <c r="I345" s="541">
        <f>I343</f>
        <v>0</v>
      </c>
      <c r="J345" s="541">
        <f>J343</f>
        <v>0</v>
      </c>
      <c r="K345" s="419">
        <f t="shared" si="9"/>
        <v>500000</v>
      </c>
    </row>
    <row r="346" spans="1:11" s="311" customFormat="1" ht="38.25">
      <c r="A346" s="464"/>
      <c r="B346" s="464"/>
      <c r="C346" s="462" t="s">
        <v>192</v>
      </c>
      <c r="D346" s="463"/>
      <c r="E346" s="465"/>
      <c r="F346" s="466"/>
      <c r="G346" s="467" t="s">
        <v>840</v>
      </c>
      <c r="H346" s="541"/>
      <c r="I346" s="541"/>
      <c r="J346" s="541"/>
      <c r="K346" s="419"/>
    </row>
    <row r="347" spans="1:11" s="311" customFormat="1" ht="15">
      <c r="A347" s="468"/>
      <c r="B347" s="468"/>
      <c r="C347" s="469"/>
      <c r="D347" s="470">
        <v>70</v>
      </c>
      <c r="E347" s="471"/>
      <c r="F347" s="472"/>
      <c r="G347" s="473" t="s">
        <v>334</v>
      </c>
      <c r="H347" s="541"/>
      <c r="I347" s="541"/>
      <c r="J347" s="541"/>
      <c r="K347" s="419"/>
    </row>
    <row r="348" spans="1:11" s="311" customFormat="1" ht="25.5">
      <c r="A348" s="464"/>
      <c r="B348" s="464"/>
      <c r="C348" s="474"/>
      <c r="D348" s="464"/>
      <c r="E348" s="475">
        <v>88</v>
      </c>
      <c r="F348" s="476">
        <v>463</v>
      </c>
      <c r="G348" s="477" t="s">
        <v>117</v>
      </c>
      <c r="H348" s="419">
        <v>13000000</v>
      </c>
      <c r="I348" s="541"/>
      <c r="J348" s="541"/>
      <c r="K348" s="419"/>
    </row>
    <row r="349" spans="1:11" s="311" customFormat="1" ht="25.5">
      <c r="A349" s="464"/>
      <c r="B349" s="464"/>
      <c r="C349" s="474"/>
      <c r="D349" s="464"/>
      <c r="E349" s="478"/>
      <c r="F349" s="479"/>
      <c r="G349" s="480" t="s">
        <v>392</v>
      </c>
      <c r="H349" s="420"/>
      <c r="I349" s="541"/>
      <c r="J349" s="541"/>
      <c r="K349" s="419"/>
    </row>
    <row r="350" spans="1:11" s="311" customFormat="1" ht="15">
      <c r="A350" s="464"/>
      <c r="B350" s="464"/>
      <c r="C350" s="474"/>
      <c r="D350" s="464"/>
      <c r="E350" s="465"/>
      <c r="F350" s="466"/>
      <c r="G350" s="481" t="s">
        <v>393</v>
      </c>
      <c r="H350" s="421">
        <f>SUM(H348:H348)</f>
        <v>13000000</v>
      </c>
      <c r="I350" s="541"/>
      <c r="J350" s="541"/>
      <c r="K350" s="419"/>
    </row>
    <row r="351" spans="1:11" s="311" customFormat="1" ht="25.5">
      <c r="A351" s="464"/>
      <c r="B351" s="464"/>
      <c r="C351" s="474"/>
      <c r="D351" s="464"/>
      <c r="E351" s="478"/>
      <c r="F351" s="479"/>
      <c r="G351" s="480" t="s">
        <v>359</v>
      </c>
      <c r="H351" s="420"/>
      <c r="I351" s="541"/>
      <c r="J351" s="541"/>
      <c r="K351" s="419"/>
    </row>
    <row r="352" spans="1:11" s="311" customFormat="1" ht="25.5">
      <c r="A352" s="464"/>
      <c r="B352" s="464"/>
      <c r="C352" s="474"/>
      <c r="D352" s="464"/>
      <c r="E352" s="465"/>
      <c r="F352" s="466"/>
      <c r="G352" s="482" t="s">
        <v>360</v>
      </c>
      <c r="H352" s="422">
        <f>H350</f>
        <v>13000000</v>
      </c>
      <c r="I352" s="541"/>
      <c r="J352" s="541"/>
      <c r="K352" s="419"/>
    </row>
    <row r="353" spans="1:11" s="311" customFormat="1" ht="57" customHeight="1">
      <c r="A353" s="626"/>
      <c r="B353" s="626"/>
      <c r="C353" s="633" t="s">
        <v>841</v>
      </c>
      <c r="D353" s="634"/>
      <c r="E353" s="524"/>
      <c r="F353" s="526"/>
      <c r="G353" s="802" t="s">
        <v>850</v>
      </c>
      <c r="H353" s="421"/>
      <c r="I353" s="541"/>
      <c r="J353" s="541"/>
      <c r="K353" s="419">
        <f t="shared" si="9"/>
        <v>0</v>
      </c>
    </row>
    <row r="354" spans="1:11" s="311" customFormat="1" ht="61.5" customHeight="1">
      <c r="A354" s="626"/>
      <c r="B354" s="626"/>
      <c r="C354" s="630"/>
      <c r="D354" s="635" t="s">
        <v>170</v>
      </c>
      <c r="E354" s="524"/>
      <c r="F354" s="526"/>
      <c r="G354" s="549" t="s">
        <v>456</v>
      </c>
      <c r="H354" s="541"/>
      <c r="I354" s="541"/>
      <c r="J354" s="541"/>
      <c r="K354" s="419">
        <f t="shared" si="9"/>
        <v>0</v>
      </c>
    </row>
    <row r="355" spans="1:11" s="311" customFormat="1" ht="56.25" customHeight="1">
      <c r="A355" s="626"/>
      <c r="B355" s="626"/>
      <c r="C355" s="630"/>
      <c r="D355" s="614"/>
      <c r="E355" s="524">
        <v>89</v>
      </c>
      <c r="F355" s="526">
        <v>481</v>
      </c>
      <c r="G355" s="533" t="s">
        <v>233</v>
      </c>
      <c r="H355" s="534">
        <v>25000000</v>
      </c>
      <c r="I355" s="534"/>
      <c r="J355" s="419"/>
      <c r="K355" s="419">
        <f t="shared" si="9"/>
        <v>25000000</v>
      </c>
    </row>
    <row r="356" spans="1:11" s="311" customFormat="1" ht="28.5">
      <c r="A356" s="626"/>
      <c r="B356" s="626"/>
      <c r="C356" s="630"/>
      <c r="D356" s="614"/>
      <c r="E356" s="524"/>
      <c r="F356" s="526"/>
      <c r="G356" s="540" t="s">
        <v>842</v>
      </c>
      <c r="H356" s="541">
        <f>SUM(H355:H355)</f>
        <v>25000000</v>
      </c>
      <c r="I356" s="541">
        <f>SUM(I355:I355)</f>
        <v>0</v>
      </c>
      <c r="J356" s="541">
        <f>SUM(J355:J355)</f>
        <v>0</v>
      </c>
      <c r="K356" s="419">
        <f t="shared" si="9"/>
        <v>25000000</v>
      </c>
    </row>
    <row r="357" spans="1:11" s="311" customFormat="1" ht="48" customHeight="1" thickBot="1">
      <c r="A357" s="626"/>
      <c r="B357" s="626"/>
      <c r="C357" s="483" t="s">
        <v>843</v>
      </c>
      <c r="D357" s="484"/>
      <c r="E357" s="485"/>
      <c r="F357" s="486"/>
      <c r="G357" s="487" t="s">
        <v>844</v>
      </c>
      <c r="H357" s="527"/>
      <c r="I357" s="527"/>
      <c r="J357" s="527"/>
      <c r="K357" s="419">
        <f t="shared" si="9"/>
        <v>0</v>
      </c>
    </row>
    <row r="358" spans="1:11" s="311" customFormat="1" ht="45">
      <c r="A358" s="620"/>
      <c r="B358" s="621"/>
      <c r="C358" s="622"/>
      <c r="D358" s="635" t="s">
        <v>170</v>
      </c>
      <c r="E358" s="603"/>
      <c r="F358" s="636"/>
      <c r="G358" s="549" t="s">
        <v>456</v>
      </c>
      <c r="H358" s="527"/>
      <c r="I358" s="527"/>
      <c r="J358" s="527"/>
      <c r="K358" s="419">
        <f t="shared" si="9"/>
        <v>0</v>
      </c>
    </row>
    <row r="359" spans="1:11" s="311" customFormat="1" ht="30">
      <c r="A359" s="637"/>
      <c r="B359" s="638"/>
      <c r="C359" s="639"/>
      <c r="D359" s="524"/>
      <c r="E359" s="524">
        <v>90</v>
      </c>
      <c r="F359" s="476">
        <v>481</v>
      </c>
      <c r="G359" s="533" t="s">
        <v>233</v>
      </c>
      <c r="H359" s="534">
        <v>3000000</v>
      </c>
      <c r="I359" s="534"/>
      <c r="J359" s="419"/>
      <c r="K359" s="419">
        <f t="shared" si="9"/>
        <v>3000000</v>
      </c>
    </row>
    <row r="360" spans="1:11" s="311" customFormat="1" ht="28.5">
      <c r="A360" s="523"/>
      <c r="B360" s="524"/>
      <c r="C360" s="532"/>
      <c r="D360" s="524"/>
      <c r="E360" s="535"/>
      <c r="F360" s="476"/>
      <c r="G360" s="554" t="s">
        <v>394</v>
      </c>
      <c r="H360" s="537"/>
      <c r="I360" s="537"/>
      <c r="J360" s="537"/>
      <c r="K360" s="419">
        <f t="shared" si="9"/>
        <v>0</v>
      </c>
    </row>
    <row r="361" spans="1:11" s="311" customFormat="1" ht="15">
      <c r="A361" s="523"/>
      <c r="B361" s="524"/>
      <c r="C361" s="532"/>
      <c r="D361" s="524"/>
      <c r="E361" s="524"/>
      <c r="F361" s="538" t="s">
        <v>87</v>
      </c>
      <c r="G361" s="539" t="s">
        <v>88</v>
      </c>
      <c r="H361" s="527"/>
      <c r="I361" s="527"/>
      <c r="J361" s="527"/>
      <c r="K361" s="419">
        <f t="shared" si="9"/>
        <v>0</v>
      </c>
    </row>
    <row r="362" spans="1:11" s="311" customFormat="1" ht="38.25">
      <c r="A362" s="523"/>
      <c r="B362" s="524"/>
      <c r="C362" s="532"/>
      <c r="D362" s="524"/>
      <c r="E362" s="524"/>
      <c r="F362" s="538"/>
      <c r="G362" s="487" t="s">
        <v>855</v>
      </c>
      <c r="H362" s="541">
        <f>SUM(H359)</f>
        <v>3000000</v>
      </c>
      <c r="I362" s="527"/>
      <c r="J362" s="527"/>
      <c r="K362" s="419"/>
    </row>
    <row r="363" spans="1:11" s="311" customFormat="1" ht="15">
      <c r="A363" s="523"/>
      <c r="B363" s="524"/>
      <c r="C363" s="532"/>
      <c r="D363" s="524"/>
      <c r="E363" s="524"/>
      <c r="F363" s="526"/>
      <c r="G363" s="540" t="s">
        <v>395</v>
      </c>
      <c r="H363" s="541">
        <f>SUM(H359+H356)</f>
        <v>28000000</v>
      </c>
      <c r="I363" s="541">
        <f>SUM(I359+I356)</f>
        <v>0</v>
      </c>
      <c r="J363" s="541">
        <f>SUM(J359+J356)</f>
        <v>0</v>
      </c>
      <c r="K363" s="419">
        <f t="shared" si="9"/>
        <v>28000000</v>
      </c>
    </row>
    <row r="364" spans="1:11" s="311" customFormat="1" ht="42.75">
      <c r="A364" s="523"/>
      <c r="B364" s="524"/>
      <c r="C364" s="532"/>
      <c r="D364" s="524"/>
      <c r="E364" s="535"/>
      <c r="F364" s="476"/>
      <c r="G364" s="554" t="s">
        <v>854</v>
      </c>
      <c r="H364" s="537"/>
      <c r="I364" s="537"/>
      <c r="J364" s="537"/>
      <c r="K364" s="419">
        <f t="shared" si="9"/>
        <v>0</v>
      </c>
    </row>
    <row r="365" spans="1:11" s="311" customFormat="1" ht="28.5">
      <c r="A365" s="523"/>
      <c r="B365" s="524"/>
      <c r="C365" s="640"/>
      <c r="D365" s="612"/>
      <c r="E365" s="524"/>
      <c r="F365" s="526"/>
      <c r="G365" s="540" t="s">
        <v>856</v>
      </c>
      <c r="H365" s="541">
        <f>H359</f>
        <v>3000000</v>
      </c>
      <c r="I365" s="541">
        <f>I359</f>
        <v>0</v>
      </c>
      <c r="J365" s="541">
        <f>J359</f>
        <v>0</v>
      </c>
      <c r="K365" s="419">
        <f t="shared" si="9"/>
        <v>3000000</v>
      </c>
    </row>
    <row r="366" spans="1:11" s="311" customFormat="1" ht="45" customHeight="1">
      <c r="A366" s="576"/>
      <c r="B366" s="613"/>
      <c r="C366" s="462" t="s">
        <v>837</v>
      </c>
      <c r="D366" s="474"/>
      <c r="E366" s="641"/>
      <c r="F366" s="584"/>
      <c r="G366" s="803" t="s">
        <v>838</v>
      </c>
      <c r="H366" s="527"/>
      <c r="I366" s="527"/>
      <c r="J366" s="527"/>
      <c r="K366" s="419">
        <f t="shared" si="9"/>
        <v>0</v>
      </c>
    </row>
    <row r="367" spans="1:11" s="311" customFormat="1" ht="15">
      <c r="A367" s="576"/>
      <c r="B367" s="613"/>
      <c r="C367" s="624"/>
      <c r="D367" s="642" t="s">
        <v>168</v>
      </c>
      <c r="E367" s="641"/>
      <c r="F367" s="584"/>
      <c r="G367" s="643" t="s">
        <v>409</v>
      </c>
      <c r="H367" s="527"/>
      <c r="I367" s="527"/>
      <c r="J367" s="527"/>
      <c r="K367" s="419">
        <f t="shared" si="9"/>
        <v>0</v>
      </c>
    </row>
    <row r="368" spans="1:11" s="311" customFormat="1" ht="37.5" customHeight="1">
      <c r="A368" s="523"/>
      <c r="B368" s="644"/>
      <c r="C368" s="630"/>
      <c r="D368" s="642" t="s">
        <v>168</v>
      </c>
      <c r="E368" s="614">
        <v>91</v>
      </c>
      <c r="F368" s="476">
        <v>472</v>
      </c>
      <c r="G368" s="533" t="s">
        <v>123</v>
      </c>
      <c r="H368" s="534">
        <v>8500000</v>
      </c>
      <c r="I368" s="534"/>
      <c r="J368" s="419"/>
      <c r="K368" s="419">
        <f t="shared" si="9"/>
        <v>8500000</v>
      </c>
    </row>
    <row r="369" spans="1:11" s="311" customFormat="1" ht="25.5">
      <c r="A369" s="576"/>
      <c r="B369" s="613"/>
      <c r="C369" s="624"/>
      <c r="D369" s="585"/>
      <c r="E369" s="641"/>
      <c r="F369" s="476"/>
      <c r="G369" s="481" t="s">
        <v>839</v>
      </c>
      <c r="H369" s="541">
        <f>SUM(H368:H368)</f>
        <v>8500000</v>
      </c>
      <c r="I369" s="541">
        <f>SUM(I368:I368)</f>
        <v>0</v>
      </c>
      <c r="J369" s="645">
        <f>SUM(J368:J368)</f>
        <v>0</v>
      </c>
      <c r="K369" s="541">
        <f>SUM(K368:K368)</f>
        <v>8500000</v>
      </c>
    </row>
    <row r="370" spans="1:11" s="311" customFormat="1" ht="15">
      <c r="A370" s="523"/>
      <c r="B370" s="644"/>
      <c r="C370" s="630"/>
      <c r="D370" s="626"/>
      <c r="E370" s="646"/>
      <c r="F370" s="476"/>
      <c r="G370" s="554" t="s">
        <v>410</v>
      </c>
      <c r="H370" s="541">
        <f>SUM(H369)</f>
        <v>8500000</v>
      </c>
      <c r="I370" s="541">
        <f>SUM(I369)</f>
        <v>0</v>
      </c>
      <c r="J370" s="645">
        <f>SUM(J369)</f>
        <v>0</v>
      </c>
      <c r="K370" s="419">
        <f>SUM(H370:J370)</f>
        <v>8500000</v>
      </c>
    </row>
    <row r="371" spans="1:11" s="311" customFormat="1" ht="38.25">
      <c r="A371" s="523"/>
      <c r="B371" s="644"/>
      <c r="C371" s="462" t="s">
        <v>845</v>
      </c>
      <c r="D371" s="468"/>
      <c r="E371" s="465"/>
      <c r="F371" s="466"/>
      <c r="G371" s="488" t="s">
        <v>846</v>
      </c>
      <c r="H371" s="423"/>
      <c r="I371" s="647"/>
      <c r="J371" s="648"/>
      <c r="K371" s="419">
        <f aca="true" t="shared" si="10" ref="K371:K377">SUM(H371:J371)</f>
        <v>0</v>
      </c>
    </row>
    <row r="372" spans="1:11" s="311" customFormat="1" ht="15">
      <c r="A372" s="576"/>
      <c r="B372" s="613"/>
      <c r="C372" s="469"/>
      <c r="D372" s="642" t="s">
        <v>168</v>
      </c>
      <c r="E372" s="471"/>
      <c r="F372" s="472"/>
      <c r="G372" s="489" t="s">
        <v>334</v>
      </c>
      <c r="H372" s="424"/>
      <c r="I372" s="649"/>
      <c r="J372" s="650"/>
      <c r="K372" s="419">
        <f t="shared" si="10"/>
        <v>0</v>
      </c>
    </row>
    <row r="373" spans="1:11" s="311" customFormat="1" ht="25.5">
      <c r="A373" s="523"/>
      <c r="B373" s="644"/>
      <c r="C373" s="474"/>
      <c r="D373" s="464"/>
      <c r="E373" s="490">
        <v>92</v>
      </c>
      <c r="F373" s="476">
        <v>472</v>
      </c>
      <c r="G373" s="491" t="s">
        <v>123</v>
      </c>
      <c r="H373" s="425">
        <v>8000000</v>
      </c>
      <c r="I373" s="651"/>
      <c r="J373" s="652"/>
      <c r="K373" s="419">
        <f>SUM(H373:J373)</f>
        <v>8000000</v>
      </c>
    </row>
    <row r="374" spans="1:11" s="311" customFormat="1" ht="25.5">
      <c r="A374" s="523"/>
      <c r="B374" s="644"/>
      <c r="C374" s="474"/>
      <c r="D374" s="464"/>
      <c r="E374" s="478"/>
      <c r="F374" s="479"/>
      <c r="G374" s="492" t="s">
        <v>847</v>
      </c>
      <c r="H374" s="426"/>
      <c r="I374" s="653"/>
      <c r="J374" s="654"/>
      <c r="K374" s="419">
        <f t="shared" si="10"/>
        <v>0</v>
      </c>
    </row>
    <row r="375" spans="1:11" s="311" customFormat="1" ht="15">
      <c r="A375" s="523"/>
      <c r="B375" s="644"/>
      <c r="C375" s="474"/>
      <c r="D375" s="464"/>
      <c r="E375" s="465"/>
      <c r="F375" s="466"/>
      <c r="G375" s="493" t="s">
        <v>410</v>
      </c>
      <c r="H375" s="424">
        <f>SUM(H373:H373)</f>
        <v>8000000</v>
      </c>
      <c r="I375" s="655">
        <f>SUM(I373:I373)</f>
        <v>0</v>
      </c>
      <c r="J375" s="655">
        <f>SUM(J373:J373)</f>
        <v>0</v>
      </c>
      <c r="K375" s="419">
        <f t="shared" si="10"/>
        <v>8000000</v>
      </c>
    </row>
    <row r="376" spans="1:11" s="311" customFormat="1" ht="25.5">
      <c r="A376" s="523"/>
      <c r="B376" s="644"/>
      <c r="C376" s="474"/>
      <c r="D376" s="464"/>
      <c r="E376" s="478"/>
      <c r="F376" s="479"/>
      <c r="G376" s="492" t="s">
        <v>848</v>
      </c>
      <c r="H376" s="426"/>
      <c r="I376" s="654"/>
      <c r="J376" s="656"/>
      <c r="K376" s="419">
        <f t="shared" si="10"/>
        <v>0</v>
      </c>
    </row>
    <row r="377" spans="1:11" s="311" customFormat="1" ht="25.5">
      <c r="A377" s="523"/>
      <c r="B377" s="644"/>
      <c r="C377" s="474"/>
      <c r="D377" s="464"/>
      <c r="E377" s="465"/>
      <c r="F377" s="466"/>
      <c r="G377" s="493" t="s">
        <v>849</v>
      </c>
      <c r="H377" s="424">
        <f>H375</f>
        <v>8000000</v>
      </c>
      <c r="I377" s="655">
        <f>I375</f>
        <v>0</v>
      </c>
      <c r="J377" s="541">
        <f>J375</f>
        <v>0</v>
      </c>
      <c r="K377" s="657">
        <f t="shared" si="10"/>
        <v>8000000</v>
      </c>
    </row>
    <row r="378" spans="1:11" s="311" customFormat="1" ht="15">
      <c r="A378" s="523"/>
      <c r="B378" s="644"/>
      <c r="C378" s="630"/>
      <c r="D378" s="626"/>
      <c r="E378" s="646"/>
      <c r="F378" s="476"/>
      <c r="G378" s="658"/>
      <c r="H378" s="655"/>
      <c r="I378" s="655"/>
      <c r="J378" s="659"/>
      <c r="K378" s="660"/>
    </row>
    <row r="379" spans="1:11" s="311" customFormat="1" ht="44.25" customHeight="1">
      <c r="A379" s="523"/>
      <c r="B379" s="524"/>
      <c r="C379" s="639"/>
      <c r="D379" s="638"/>
      <c r="E379" s="535"/>
      <c r="F379" s="476"/>
      <c r="G379" s="661" t="s">
        <v>714</v>
      </c>
      <c r="H379" s="655">
        <f>SUM(H345+H352+H356+H365+H369+H377)</f>
        <v>58000000</v>
      </c>
      <c r="I379" s="655">
        <f>SUM(I345+I356+I365+I369+I377)</f>
        <v>0</v>
      </c>
      <c r="J379" s="541">
        <f>SUM(J345+J356+J365+J369+J377)</f>
        <v>0</v>
      </c>
      <c r="K379" s="419">
        <f aca="true" t="shared" si="11" ref="K379:K387">SUM(H379:J379)</f>
        <v>58000000</v>
      </c>
    </row>
    <row r="380" spans="1:11" s="311" customFormat="1" ht="15">
      <c r="A380" s="576"/>
      <c r="B380" s="577"/>
      <c r="C380" s="563" t="s">
        <v>467</v>
      </c>
      <c r="D380" s="563"/>
      <c r="E380" s="524"/>
      <c r="F380" s="526"/>
      <c r="G380" s="662" t="s">
        <v>361</v>
      </c>
      <c r="H380" s="650"/>
      <c r="I380" s="650"/>
      <c r="J380" s="527"/>
      <c r="K380" s="419">
        <f t="shared" si="11"/>
        <v>0</v>
      </c>
    </row>
    <row r="381" spans="1:11" s="311" customFormat="1" ht="57">
      <c r="A381" s="576"/>
      <c r="B381" s="577"/>
      <c r="C381" s="525" t="s">
        <v>198</v>
      </c>
      <c r="D381" s="809"/>
      <c r="E381" s="524"/>
      <c r="F381" s="526"/>
      <c r="G381" s="663" t="s">
        <v>257</v>
      </c>
      <c r="H381" s="650"/>
      <c r="I381" s="650"/>
      <c r="J381" s="527"/>
      <c r="K381" s="419">
        <f t="shared" si="11"/>
        <v>0</v>
      </c>
    </row>
    <row r="382" spans="1:11" s="311" customFormat="1" ht="15">
      <c r="A382" s="576"/>
      <c r="B382" s="577"/>
      <c r="C382" s="563"/>
      <c r="D382" s="664" t="s">
        <v>352</v>
      </c>
      <c r="E382" s="529"/>
      <c r="F382" s="530"/>
      <c r="G382" s="665" t="s">
        <v>81</v>
      </c>
      <c r="H382" s="666"/>
      <c r="I382" s="666"/>
      <c r="J382" s="527"/>
      <c r="K382" s="419">
        <f t="shared" si="11"/>
        <v>0</v>
      </c>
    </row>
    <row r="383" spans="1:11" s="311" customFormat="1" ht="30">
      <c r="A383" s="576"/>
      <c r="B383" s="577"/>
      <c r="C383" s="532"/>
      <c r="D383" s="524"/>
      <c r="E383" s="524">
        <v>93</v>
      </c>
      <c r="F383" s="476">
        <v>464</v>
      </c>
      <c r="G383" s="667" t="s">
        <v>474</v>
      </c>
      <c r="H383" s="534">
        <v>5000000</v>
      </c>
      <c r="I383" s="668"/>
      <c r="J383" s="419"/>
      <c r="K383" s="419">
        <f t="shared" si="11"/>
        <v>5000000</v>
      </c>
    </row>
    <row r="384" spans="1:11" s="311" customFormat="1" ht="30">
      <c r="A384" s="576"/>
      <c r="B384" s="577"/>
      <c r="C384" s="532"/>
      <c r="D384" s="524"/>
      <c r="E384" s="524">
        <v>94</v>
      </c>
      <c r="F384" s="476">
        <v>464</v>
      </c>
      <c r="G384" s="667" t="s">
        <v>475</v>
      </c>
      <c r="H384" s="534">
        <v>200000</v>
      </c>
      <c r="I384" s="668"/>
      <c r="J384" s="419"/>
      <c r="K384" s="419">
        <f t="shared" si="11"/>
        <v>200000</v>
      </c>
    </row>
    <row r="385" spans="1:11" s="311" customFormat="1" ht="30">
      <c r="A385" s="576"/>
      <c r="B385" s="577"/>
      <c r="C385" s="532"/>
      <c r="D385" s="524"/>
      <c r="E385" s="524">
        <v>95</v>
      </c>
      <c r="F385" s="476">
        <v>511</v>
      </c>
      <c r="G385" s="667" t="s">
        <v>237</v>
      </c>
      <c r="H385" s="534">
        <v>0</v>
      </c>
      <c r="I385" s="668"/>
      <c r="J385" s="419"/>
      <c r="K385" s="419">
        <f t="shared" si="11"/>
        <v>0</v>
      </c>
    </row>
    <row r="386" spans="1:11" s="311" customFormat="1" ht="28.5">
      <c r="A386" s="576"/>
      <c r="B386" s="577"/>
      <c r="C386" s="532"/>
      <c r="D386" s="524"/>
      <c r="E386" s="535"/>
      <c r="F386" s="476"/>
      <c r="G386" s="658" t="s">
        <v>428</v>
      </c>
      <c r="H386" s="669"/>
      <c r="I386" s="669"/>
      <c r="J386" s="537"/>
      <c r="K386" s="419">
        <f t="shared" si="11"/>
        <v>0</v>
      </c>
    </row>
    <row r="387" spans="1:11" s="311" customFormat="1" ht="15">
      <c r="A387" s="576"/>
      <c r="B387" s="577"/>
      <c r="C387" s="532"/>
      <c r="D387" s="524"/>
      <c r="E387" s="524"/>
      <c r="F387" s="538" t="s">
        <v>87</v>
      </c>
      <c r="G387" s="670" t="s">
        <v>88</v>
      </c>
      <c r="H387" s="650"/>
      <c r="I387" s="650"/>
      <c r="J387" s="527"/>
      <c r="K387" s="419">
        <f t="shared" si="11"/>
        <v>0</v>
      </c>
    </row>
    <row r="388" spans="1:11" s="311" customFormat="1" ht="15">
      <c r="A388" s="576"/>
      <c r="B388" s="577"/>
      <c r="C388" s="532"/>
      <c r="D388" s="524"/>
      <c r="E388" s="524"/>
      <c r="F388" s="526"/>
      <c r="G388" s="671" t="s">
        <v>429</v>
      </c>
      <c r="H388" s="655">
        <f>SUM(H383:H385)</f>
        <v>5200000</v>
      </c>
      <c r="I388" s="655">
        <f>SUM(I383:I385)</f>
        <v>0</v>
      </c>
      <c r="J388" s="541">
        <f>SUM(J383:J385)</f>
        <v>0</v>
      </c>
      <c r="K388" s="419">
        <f aca="true" t="shared" si="12" ref="K388:K449">SUM(H388:J388)</f>
        <v>5200000</v>
      </c>
    </row>
    <row r="389" spans="1:11" s="311" customFormat="1" ht="42.75">
      <c r="A389" s="576"/>
      <c r="B389" s="577"/>
      <c r="C389" s="532"/>
      <c r="D389" s="524"/>
      <c r="E389" s="535"/>
      <c r="F389" s="476"/>
      <c r="G389" s="658" t="s">
        <v>362</v>
      </c>
      <c r="H389" s="654"/>
      <c r="I389" s="654"/>
      <c r="J389" s="537"/>
      <c r="K389" s="419">
        <f t="shared" si="12"/>
        <v>0</v>
      </c>
    </row>
    <row r="390" spans="1:11" s="311" customFormat="1" ht="15">
      <c r="A390" s="576"/>
      <c r="B390" s="577"/>
      <c r="C390" s="532"/>
      <c r="D390" s="524"/>
      <c r="E390" s="524"/>
      <c r="F390" s="538" t="s">
        <v>87</v>
      </c>
      <c r="G390" s="670" t="s">
        <v>88</v>
      </c>
      <c r="H390" s="650"/>
      <c r="I390" s="650"/>
      <c r="J390" s="527"/>
      <c r="K390" s="419">
        <f t="shared" si="12"/>
        <v>0</v>
      </c>
    </row>
    <row r="391" spans="1:11" s="311" customFormat="1" ht="28.5">
      <c r="A391" s="576"/>
      <c r="B391" s="577"/>
      <c r="C391" s="532"/>
      <c r="D391" s="524"/>
      <c r="E391" s="524"/>
      <c r="F391" s="526"/>
      <c r="G391" s="671" t="s">
        <v>363</v>
      </c>
      <c r="H391" s="655">
        <f>SUM(H388)</f>
        <v>5200000</v>
      </c>
      <c r="I391" s="655">
        <f>SUM(I388)</f>
        <v>0</v>
      </c>
      <c r="J391" s="541">
        <f>SUM(J388)</f>
        <v>0</v>
      </c>
      <c r="K391" s="419">
        <f t="shared" si="12"/>
        <v>5200000</v>
      </c>
    </row>
    <row r="392" spans="1:11" s="311" customFormat="1" ht="40.5" customHeight="1">
      <c r="A392" s="576"/>
      <c r="B392" s="577"/>
      <c r="C392" s="525" t="s">
        <v>702</v>
      </c>
      <c r="D392" s="809"/>
      <c r="E392" s="524"/>
      <c r="F392" s="526"/>
      <c r="G392" s="671" t="s">
        <v>703</v>
      </c>
      <c r="H392" s="655"/>
      <c r="I392" s="655"/>
      <c r="J392" s="541"/>
      <c r="K392" s="419">
        <f t="shared" si="12"/>
        <v>0</v>
      </c>
    </row>
    <row r="393" spans="1:11" s="311" customFormat="1" ht="30">
      <c r="A393" s="576"/>
      <c r="B393" s="577"/>
      <c r="C393" s="532"/>
      <c r="D393" s="524">
        <v>740</v>
      </c>
      <c r="E393" s="524">
        <v>96</v>
      </c>
      <c r="F393" s="526">
        <v>464</v>
      </c>
      <c r="G393" s="672" t="s">
        <v>474</v>
      </c>
      <c r="H393" s="651">
        <v>130000</v>
      </c>
      <c r="I393" s="651">
        <v>0</v>
      </c>
      <c r="J393" s="419"/>
      <c r="K393" s="419">
        <f t="shared" si="12"/>
        <v>130000</v>
      </c>
    </row>
    <row r="394" spans="1:11" s="311" customFormat="1" ht="28.5">
      <c r="A394" s="576"/>
      <c r="B394" s="577"/>
      <c r="C394" s="532"/>
      <c r="D394" s="524"/>
      <c r="E394" s="524"/>
      <c r="F394" s="526"/>
      <c r="G394" s="658" t="s">
        <v>440</v>
      </c>
      <c r="H394" s="654"/>
      <c r="I394" s="654"/>
      <c r="J394" s="537"/>
      <c r="K394" s="419">
        <f t="shared" si="12"/>
        <v>0</v>
      </c>
    </row>
    <row r="395" spans="1:11" s="311" customFormat="1" ht="15">
      <c r="A395" s="576"/>
      <c r="B395" s="577"/>
      <c r="C395" s="532"/>
      <c r="D395" s="524"/>
      <c r="E395" s="524"/>
      <c r="F395" s="526"/>
      <c r="G395" s="670" t="s">
        <v>88</v>
      </c>
      <c r="H395" s="650"/>
      <c r="I395" s="650"/>
      <c r="J395" s="527"/>
      <c r="K395" s="419">
        <f t="shared" si="12"/>
        <v>0</v>
      </c>
    </row>
    <row r="396" spans="1:11" s="311" customFormat="1" ht="15">
      <c r="A396" s="576"/>
      <c r="B396" s="577"/>
      <c r="C396" s="559"/>
      <c r="D396" s="560"/>
      <c r="E396" s="560"/>
      <c r="F396" s="526"/>
      <c r="G396" s="671" t="s">
        <v>441</v>
      </c>
      <c r="H396" s="655">
        <f>SUM(H393)</f>
        <v>130000</v>
      </c>
      <c r="I396" s="655">
        <f>SUM(I393)</f>
        <v>0</v>
      </c>
      <c r="J396" s="541">
        <f>SUM(J393)</f>
        <v>0</v>
      </c>
      <c r="K396" s="419">
        <f t="shared" si="12"/>
        <v>130000</v>
      </c>
    </row>
    <row r="397" spans="1:11" s="311" customFormat="1" ht="42.75">
      <c r="A397" s="576"/>
      <c r="B397" s="577"/>
      <c r="C397" s="559"/>
      <c r="D397" s="560"/>
      <c r="E397" s="560"/>
      <c r="F397" s="526"/>
      <c r="G397" s="658" t="s">
        <v>705</v>
      </c>
      <c r="H397" s="654"/>
      <c r="I397" s="654"/>
      <c r="J397" s="537"/>
      <c r="K397" s="419">
        <f t="shared" si="12"/>
        <v>0</v>
      </c>
    </row>
    <row r="398" spans="1:11" s="311" customFormat="1" ht="15">
      <c r="A398" s="576"/>
      <c r="B398" s="577"/>
      <c r="C398" s="559"/>
      <c r="D398" s="560"/>
      <c r="E398" s="560"/>
      <c r="F398" s="526"/>
      <c r="G398" s="670" t="s">
        <v>88</v>
      </c>
      <c r="H398" s="655"/>
      <c r="I398" s="655"/>
      <c r="J398" s="541"/>
      <c r="K398" s="419">
        <f t="shared" si="12"/>
        <v>0</v>
      </c>
    </row>
    <row r="399" spans="1:11" s="311" customFormat="1" ht="28.5">
      <c r="A399" s="576"/>
      <c r="B399" s="577"/>
      <c r="C399" s="559"/>
      <c r="D399" s="560"/>
      <c r="E399" s="560"/>
      <c r="F399" s="526"/>
      <c r="G399" s="671" t="s">
        <v>704</v>
      </c>
      <c r="H399" s="655">
        <f>SUM(H396)</f>
        <v>130000</v>
      </c>
      <c r="I399" s="655">
        <f>SUM(I396)</f>
        <v>0</v>
      </c>
      <c r="J399" s="541">
        <f>SUM(J396)</f>
        <v>0</v>
      </c>
      <c r="K399" s="419">
        <f t="shared" si="12"/>
        <v>130000</v>
      </c>
    </row>
    <row r="400" spans="1:11" s="311" customFormat="1" ht="99.75">
      <c r="A400" s="576"/>
      <c r="B400" s="577"/>
      <c r="C400" s="525" t="s">
        <v>706</v>
      </c>
      <c r="D400" s="809"/>
      <c r="E400" s="524"/>
      <c r="F400" s="526"/>
      <c r="G400" s="671" t="s">
        <v>779</v>
      </c>
      <c r="H400" s="655"/>
      <c r="I400" s="655"/>
      <c r="J400" s="541"/>
      <c r="K400" s="419">
        <f t="shared" si="12"/>
        <v>0</v>
      </c>
    </row>
    <row r="401" spans="1:11" s="311" customFormat="1" ht="15">
      <c r="A401" s="576"/>
      <c r="B401" s="577"/>
      <c r="C401" s="532"/>
      <c r="D401" s="524">
        <v>160</v>
      </c>
      <c r="E401" s="524">
        <v>97</v>
      </c>
      <c r="F401" s="526">
        <v>424</v>
      </c>
      <c r="G401" s="673" t="s">
        <v>663</v>
      </c>
      <c r="H401" s="651">
        <v>200000</v>
      </c>
      <c r="I401" s="674"/>
      <c r="J401" s="534"/>
      <c r="K401" s="419">
        <f t="shared" si="12"/>
        <v>200000</v>
      </c>
    </row>
    <row r="402" spans="1:11" s="311" customFormat="1" ht="28.5">
      <c r="A402" s="576"/>
      <c r="B402" s="577"/>
      <c r="C402" s="532"/>
      <c r="D402" s="524"/>
      <c r="E402" s="524"/>
      <c r="F402" s="526"/>
      <c r="G402" s="658" t="s">
        <v>440</v>
      </c>
      <c r="H402" s="654"/>
      <c r="I402" s="654"/>
      <c r="J402" s="537"/>
      <c r="K402" s="419">
        <f t="shared" si="12"/>
        <v>0</v>
      </c>
    </row>
    <row r="403" spans="1:11" s="311" customFormat="1" ht="15">
      <c r="A403" s="576"/>
      <c r="B403" s="577"/>
      <c r="C403" s="532"/>
      <c r="D403" s="524"/>
      <c r="E403" s="524"/>
      <c r="F403" s="526"/>
      <c r="G403" s="670" t="s">
        <v>88</v>
      </c>
      <c r="H403" s="650"/>
      <c r="I403" s="650"/>
      <c r="J403" s="527"/>
      <c r="K403" s="419">
        <f t="shared" si="12"/>
        <v>0</v>
      </c>
    </row>
    <row r="404" spans="1:11" s="311" customFormat="1" ht="15">
      <c r="A404" s="576"/>
      <c r="B404" s="577"/>
      <c r="C404" s="559"/>
      <c r="D404" s="560"/>
      <c r="E404" s="560"/>
      <c r="F404" s="526"/>
      <c r="G404" s="671" t="s">
        <v>441</v>
      </c>
      <c r="H404" s="655">
        <f>SUM(H401)</f>
        <v>200000</v>
      </c>
      <c r="I404" s="655">
        <f>SUM(I401)</f>
        <v>0</v>
      </c>
      <c r="J404" s="675">
        <f>SUM(J401)</f>
        <v>0</v>
      </c>
      <c r="K404" s="676">
        <f t="shared" si="12"/>
        <v>200000</v>
      </c>
    </row>
    <row r="405" spans="1:11" s="311" customFormat="1" ht="42.75">
      <c r="A405" s="576"/>
      <c r="B405" s="577"/>
      <c r="C405" s="559"/>
      <c r="D405" s="560"/>
      <c r="E405" s="560"/>
      <c r="F405" s="526"/>
      <c r="G405" s="658" t="s">
        <v>708</v>
      </c>
      <c r="H405" s="654"/>
      <c r="I405" s="654"/>
      <c r="J405" s="654"/>
      <c r="K405" s="657">
        <f t="shared" si="12"/>
        <v>0</v>
      </c>
    </row>
    <row r="406" spans="1:11" s="311" customFormat="1" ht="15">
      <c r="A406" s="576"/>
      <c r="B406" s="577"/>
      <c r="C406" s="559"/>
      <c r="D406" s="560"/>
      <c r="E406" s="560"/>
      <c r="F406" s="526"/>
      <c r="G406" s="670" t="s">
        <v>88</v>
      </c>
      <c r="H406" s="650"/>
      <c r="I406" s="650"/>
      <c r="J406" s="650"/>
      <c r="K406" s="657">
        <f t="shared" si="12"/>
        <v>0</v>
      </c>
    </row>
    <row r="407" spans="1:11" s="311" customFormat="1" ht="28.5">
      <c r="A407" s="576"/>
      <c r="B407" s="577"/>
      <c r="C407" s="559"/>
      <c r="D407" s="560"/>
      <c r="E407" s="560"/>
      <c r="F407" s="526"/>
      <c r="G407" s="671" t="s">
        <v>709</v>
      </c>
      <c r="H407" s="655">
        <f>SUM(H404)</f>
        <v>200000</v>
      </c>
      <c r="I407" s="655">
        <f>SUM(I404)</f>
        <v>0</v>
      </c>
      <c r="J407" s="655">
        <f>SUM(J404)</f>
        <v>0</v>
      </c>
      <c r="K407" s="657">
        <f t="shared" si="12"/>
        <v>200000</v>
      </c>
    </row>
    <row r="408" spans="1:11" s="311" customFormat="1" ht="26.25" customHeight="1">
      <c r="A408" s="576"/>
      <c r="B408" s="577"/>
      <c r="C408" s="559"/>
      <c r="D408" s="560"/>
      <c r="E408" s="560"/>
      <c r="F408" s="526"/>
      <c r="G408" s="661" t="s">
        <v>716</v>
      </c>
      <c r="H408" s="655">
        <f>H407+H399+H391</f>
        <v>5530000</v>
      </c>
      <c r="I408" s="655">
        <f>I407+I399+I391</f>
        <v>0</v>
      </c>
      <c r="J408" s="655">
        <f>J407+J399+J391</f>
        <v>0</v>
      </c>
      <c r="K408" s="657">
        <f t="shared" si="12"/>
        <v>5530000</v>
      </c>
    </row>
    <row r="409" spans="1:11" s="311" customFormat="1" ht="30" customHeight="1">
      <c r="A409" s="523"/>
      <c r="B409" s="524"/>
      <c r="C409" s="569">
        <v>1201</v>
      </c>
      <c r="D409" s="524"/>
      <c r="E409" s="524"/>
      <c r="F409" s="526"/>
      <c r="G409" s="861" t="s">
        <v>608</v>
      </c>
      <c r="H409" s="862"/>
      <c r="I409" s="807"/>
      <c r="J409" s="807"/>
      <c r="K409" s="657">
        <f t="shared" si="12"/>
        <v>0</v>
      </c>
    </row>
    <row r="410" spans="1:11" s="311" customFormat="1" ht="30" customHeight="1">
      <c r="A410" s="523"/>
      <c r="B410" s="524"/>
      <c r="C410" s="569" t="s">
        <v>197</v>
      </c>
      <c r="D410" s="524"/>
      <c r="E410" s="524"/>
      <c r="F410" s="526"/>
      <c r="G410" s="662" t="s">
        <v>256</v>
      </c>
      <c r="H410" s="808"/>
      <c r="I410" s="807"/>
      <c r="J410" s="807"/>
      <c r="K410" s="657">
        <f t="shared" si="12"/>
        <v>0</v>
      </c>
    </row>
    <row r="411" spans="1:11" s="311" customFormat="1" ht="45" customHeight="1">
      <c r="A411" s="523"/>
      <c r="B411" s="524"/>
      <c r="C411" s="569"/>
      <c r="D411" s="524"/>
      <c r="E411" s="524"/>
      <c r="F411" s="526"/>
      <c r="G411" s="807" t="s">
        <v>681</v>
      </c>
      <c r="H411" s="808"/>
      <c r="I411" s="807"/>
      <c r="J411" s="807"/>
      <c r="K411" s="657">
        <f t="shared" si="12"/>
        <v>0</v>
      </c>
    </row>
    <row r="412" spans="1:11" s="311" customFormat="1" ht="59.25" customHeight="1">
      <c r="A412" s="523"/>
      <c r="B412" s="524"/>
      <c r="C412" s="569"/>
      <c r="D412" s="590">
        <v>860</v>
      </c>
      <c r="E412" s="524"/>
      <c r="F412" s="526"/>
      <c r="G412" s="677" t="s">
        <v>267</v>
      </c>
      <c r="H412" s="678"/>
      <c r="I412" s="679"/>
      <c r="J412" s="556"/>
      <c r="K412" s="657">
        <f t="shared" si="12"/>
        <v>0</v>
      </c>
    </row>
    <row r="413" spans="1:11" s="311" customFormat="1" ht="30" customHeight="1">
      <c r="A413" s="523"/>
      <c r="B413" s="524"/>
      <c r="C413" s="569"/>
      <c r="D413" s="524"/>
      <c r="E413" s="524">
        <v>98</v>
      </c>
      <c r="F413" s="526">
        <v>423</v>
      </c>
      <c r="G413" s="680" t="s">
        <v>682</v>
      </c>
      <c r="H413" s="534">
        <v>1000000</v>
      </c>
      <c r="I413" s="534"/>
      <c r="J413" s="681"/>
      <c r="K413" s="657">
        <f t="shared" si="12"/>
        <v>1000000</v>
      </c>
    </row>
    <row r="414" spans="1:11" s="311" customFormat="1" ht="30" customHeight="1">
      <c r="A414" s="523"/>
      <c r="B414" s="524"/>
      <c r="C414" s="569"/>
      <c r="D414" s="524"/>
      <c r="E414" s="524">
        <v>99</v>
      </c>
      <c r="F414" s="526">
        <v>424</v>
      </c>
      <c r="G414" s="680" t="s">
        <v>663</v>
      </c>
      <c r="H414" s="534">
        <v>2500000</v>
      </c>
      <c r="I414" s="534"/>
      <c r="J414" s="681"/>
      <c r="K414" s="657">
        <f t="shared" si="12"/>
        <v>2500000</v>
      </c>
    </row>
    <row r="415" spans="1:11" s="311" customFormat="1" ht="30" customHeight="1">
      <c r="A415" s="523"/>
      <c r="B415" s="524"/>
      <c r="C415" s="569"/>
      <c r="D415" s="524"/>
      <c r="E415" s="524"/>
      <c r="F415" s="538" t="s">
        <v>87</v>
      </c>
      <c r="G415" s="670" t="s">
        <v>88</v>
      </c>
      <c r="H415" s="682"/>
      <c r="I415" s="683"/>
      <c r="J415" s="807"/>
      <c r="K415" s="657">
        <f t="shared" si="12"/>
        <v>0</v>
      </c>
    </row>
    <row r="416" spans="1:11" s="311" customFormat="1" ht="30" customHeight="1">
      <c r="A416" s="523"/>
      <c r="B416" s="524"/>
      <c r="C416" s="569"/>
      <c r="D416" s="524"/>
      <c r="E416" s="524"/>
      <c r="F416" s="526"/>
      <c r="G416" s="671" t="s">
        <v>412</v>
      </c>
      <c r="H416" s="655">
        <f>SUM(H413:H415)</f>
        <v>3500000</v>
      </c>
      <c r="I416" s="655">
        <f>SUM(I413:I415)</f>
        <v>0</v>
      </c>
      <c r="J416" s="655">
        <f>SUM(J413:J415)</f>
        <v>0</v>
      </c>
      <c r="K416" s="657">
        <f t="shared" si="12"/>
        <v>3500000</v>
      </c>
    </row>
    <row r="417" spans="1:11" s="311" customFormat="1" ht="48" customHeight="1">
      <c r="A417" s="523"/>
      <c r="B417" s="524"/>
      <c r="C417" s="569"/>
      <c r="D417" s="524"/>
      <c r="E417" s="524"/>
      <c r="F417" s="526"/>
      <c r="G417" s="658" t="s">
        <v>254</v>
      </c>
      <c r="H417" s="654"/>
      <c r="I417" s="654"/>
      <c r="J417" s="654"/>
      <c r="K417" s="657">
        <f t="shared" si="12"/>
        <v>0</v>
      </c>
    </row>
    <row r="418" spans="1:11" s="311" customFormat="1" ht="30" customHeight="1">
      <c r="A418" s="523"/>
      <c r="B418" s="524"/>
      <c r="C418" s="569"/>
      <c r="D418" s="524"/>
      <c r="E418" s="524"/>
      <c r="F418" s="538" t="s">
        <v>87</v>
      </c>
      <c r="G418" s="670" t="s">
        <v>88</v>
      </c>
      <c r="H418" s="650"/>
      <c r="I418" s="650"/>
      <c r="J418" s="650"/>
      <c r="K418" s="657">
        <f t="shared" si="12"/>
        <v>0</v>
      </c>
    </row>
    <row r="419" spans="1:11" s="311" customFormat="1" ht="28.5">
      <c r="A419" s="523"/>
      <c r="B419" s="524"/>
      <c r="C419" s="556"/>
      <c r="D419" s="556"/>
      <c r="E419" s="556"/>
      <c r="F419" s="584"/>
      <c r="G419" s="671" t="s">
        <v>255</v>
      </c>
      <c r="H419" s="684">
        <f>H416</f>
        <v>3500000</v>
      </c>
      <c r="I419" s="684">
        <f>I416</f>
        <v>0</v>
      </c>
      <c r="J419" s="655">
        <f>J416</f>
        <v>0</v>
      </c>
      <c r="K419" s="657">
        <f t="shared" si="12"/>
        <v>3500000</v>
      </c>
    </row>
    <row r="420" spans="1:11" s="311" customFormat="1" ht="75" customHeight="1">
      <c r="A420" s="523"/>
      <c r="B420" s="524"/>
      <c r="C420" s="556" t="s">
        <v>369</v>
      </c>
      <c r="D420" s="556"/>
      <c r="E420" s="556"/>
      <c r="F420" s="584"/>
      <c r="G420" s="685" t="s">
        <v>796</v>
      </c>
      <c r="H420" s="541"/>
      <c r="I420" s="541"/>
      <c r="J420" s="686"/>
      <c r="K420" s="657">
        <f t="shared" si="12"/>
        <v>0</v>
      </c>
    </row>
    <row r="421" spans="1:11" s="311" customFormat="1" ht="45" customHeight="1">
      <c r="A421" s="523"/>
      <c r="B421" s="524"/>
      <c r="C421" s="556"/>
      <c r="D421" s="556"/>
      <c r="E421" s="556">
        <v>100</v>
      </c>
      <c r="F421" s="584">
        <v>424</v>
      </c>
      <c r="G421" s="687" t="s">
        <v>663</v>
      </c>
      <c r="H421" s="534">
        <v>500000</v>
      </c>
      <c r="I421" s="534">
        <v>0</v>
      </c>
      <c r="J421" s="681"/>
      <c r="K421" s="657">
        <f t="shared" si="12"/>
        <v>500000</v>
      </c>
    </row>
    <row r="422" spans="1:11" s="311" customFormat="1" ht="30">
      <c r="A422" s="523"/>
      <c r="B422" s="524"/>
      <c r="C422" s="556"/>
      <c r="D422" s="556"/>
      <c r="E422" s="556">
        <v>101</v>
      </c>
      <c r="F422" s="584">
        <v>511</v>
      </c>
      <c r="G422" s="673" t="s">
        <v>237</v>
      </c>
      <c r="H422" s="651">
        <v>0</v>
      </c>
      <c r="I422" s="651">
        <v>0</v>
      </c>
      <c r="J422" s="688"/>
      <c r="K422" s="657">
        <f t="shared" si="12"/>
        <v>0</v>
      </c>
    </row>
    <row r="423" spans="1:11" s="311" customFormat="1" ht="15">
      <c r="A423" s="523"/>
      <c r="B423" s="524"/>
      <c r="C423" s="556"/>
      <c r="D423" s="556"/>
      <c r="E423" s="556">
        <v>102</v>
      </c>
      <c r="F423" s="584">
        <v>512</v>
      </c>
      <c r="G423" s="673" t="s">
        <v>238</v>
      </c>
      <c r="H423" s="651">
        <v>0</v>
      </c>
      <c r="I423" s="651"/>
      <c r="J423" s="688"/>
      <c r="K423" s="657">
        <f t="shared" si="12"/>
        <v>0</v>
      </c>
    </row>
    <row r="424" spans="1:11" s="311" customFormat="1" ht="28.5">
      <c r="A424" s="523"/>
      <c r="B424" s="524"/>
      <c r="C424" s="556"/>
      <c r="D424" s="556"/>
      <c r="E424" s="556"/>
      <c r="F424" s="584"/>
      <c r="G424" s="689" t="s">
        <v>438</v>
      </c>
      <c r="H424" s="654"/>
      <c r="I424" s="653"/>
      <c r="J424" s="653"/>
      <c r="K424" s="657">
        <f t="shared" si="12"/>
        <v>0</v>
      </c>
    </row>
    <row r="425" spans="1:11" s="311" customFormat="1" ht="15">
      <c r="A425" s="523"/>
      <c r="B425" s="524"/>
      <c r="C425" s="556"/>
      <c r="D425" s="556"/>
      <c r="E425" s="556"/>
      <c r="F425" s="584"/>
      <c r="G425" s="670" t="s">
        <v>88</v>
      </c>
      <c r="H425" s="650"/>
      <c r="I425" s="690"/>
      <c r="J425" s="690"/>
      <c r="K425" s="657">
        <f t="shared" si="12"/>
        <v>0</v>
      </c>
    </row>
    <row r="426" spans="1:11" s="311" customFormat="1" ht="15">
      <c r="A426" s="523"/>
      <c r="B426" s="524"/>
      <c r="C426" s="556"/>
      <c r="D426" s="556"/>
      <c r="E426" s="556"/>
      <c r="F426" s="584"/>
      <c r="G426" s="671" t="s">
        <v>439</v>
      </c>
      <c r="H426" s="655">
        <f>SUM(H421:H423)</f>
        <v>500000</v>
      </c>
      <c r="I426" s="655">
        <f>SUM(I421:I423)</f>
        <v>0</v>
      </c>
      <c r="J426" s="655">
        <f>SUM(J421:J423)</f>
        <v>0</v>
      </c>
      <c r="K426" s="657">
        <f t="shared" si="12"/>
        <v>500000</v>
      </c>
    </row>
    <row r="427" spans="1:11" s="311" customFormat="1" ht="42.75">
      <c r="A427" s="523"/>
      <c r="B427" s="524"/>
      <c r="C427" s="556"/>
      <c r="D427" s="556"/>
      <c r="E427" s="556"/>
      <c r="F427" s="584"/>
      <c r="G427" s="658" t="s">
        <v>740</v>
      </c>
      <c r="H427" s="654"/>
      <c r="I427" s="654"/>
      <c r="J427" s="654"/>
      <c r="K427" s="657">
        <f t="shared" si="12"/>
        <v>0</v>
      </c>
    </row>
    <row r="428" spans="1:11" s="311" customFormat="1" ht="15">
      <c r="A428" s="523"/>
      <c r="B428" s="524"/>
      <c r="C428" s="556"/>
      <c r="D428" s="556"/>
      <c r="E428" s="556"/>
      <c r="F428" s="584"/>
      <c r="G428" s="670" t="s">
        <v>88</v>
      </c>
      <c r="H428" s="650"/>
      <c r="I428" s="650"/>
      <c r="J428" s="650"/>
      <c r="K428" s="657">
        <f t="shared" si="12"/>
        <v>0</v>
      </c>
    </row>
    <row r="429" spans="1:11" s="311" customFormat="1" ht="28.5">
      <c r="A429" s="523"/>
      <c r="B429" s="524"/>
      <c r="C429" s="556"/>
      <c r="D429" s="556"/>
      <c r="E429" s="556"/>
      <c r="F429" s="584"/>
      <c r="G429" s="671" t="s">
        <v>739</v>
      </c>
      <c r="H429" s="655">
        <f>H426</f>
        <v>500000</v>
      </c>
      <c r="I429" s="655">
        <f>I426</f>
        <v>0</v>
      </c>
      <c r="J429" s="655">
        <f>J426</f>
        <v>0</v>
      </c>
      <c r="K429" s="657">
        <f t="shared" si="12"/>
        <v>500000</v>
      </c>
    </row>
    <row r="430" spans="1:11" s="311" customFormat="1" ht="71.25">
      <c r="A430" s="523"/>
      <c r="B430" s="524"/>
      <c r="C430" s="569" t="s">
        <v>414</v>
      </c>
      <c r="D430" s="662"/>
      <c r="E430" s="809"/>
      <c r="F430" s="578"/>
      <c r="G430" s="671" t="s">
        <v>680</v>
      </c>
      <c r="H430" s="650"/>
      <c r="I430" s="690"/>
      <c r="J430" s="690"/>
      <c r="K430" s="657">
        <f t="shared" si="12"/>
        <v>0</v>
      </c>
    </row>
    <row r="431" spans="1:11" s="311" customFormat="1" ht="15">
      <c r="A431" s="691"/>
      <c r="B431" s="692"/>
      <c r="C431" s="693"/>
      <c r="D431" s="529">
        <v>830</v>
      </c>
      <c r="E431" s="586"/>
      <c r="F431" s="694"/>
      <c r="G431" s="586" t="s">
        <v>437</v>
      </c>
      <c r="H431" s="695"/>
      <c r="I431" s="696"/>
      <c r="J431" s="696"/>
      <c r="K431" s="657">
        <f t="shared" si="12"/>
        <v>0</v>
      </c>
    </row>
    <row r="432" spans="1:11" s="311" customFormat="1" ht="30">
      <c r="A432" s="523"/>
      <c r="B432" s="524"/>
      <c r="C432" s="596"/>
      <c r="D432" s="556"/>
      <c r="E432" s="556">
        <v>103</v>
      </c>
      <c r="F432" s="476">
        <v>423</v>
      </c>
      <c r="G432" s="697" t="s">
        <v>720</v>
      </c>
      <c r="H432" s="651">
        <v>6000000</v>
      </c>
      <c r="I432" s="651"/>
      <c r="J432" s="688"/>
      <c r="K432" s="657">
        <f t="shared" si="12"/>
        <v>6000000</v>
      </c>
    </row>
    <row r="433" spans="1:11" s="311" customFormat="1" ht="30" customHeight="1">
      <c r="A433" s="523"/>
      <c r="B433" s="524"/>
      <c r="C433" s="532"/>
      <c r="D433" s="524"/>
      <c r="E433" s="535"/>
      <c r="F433" s="476"/>
      <c r="G433" s="689" t="s">
        <v>438</v>
      </c>
      <c r="H433" s="654"/>
      <c r="I433" s="653"/>
      <c r="J433" s="653"/>
      <c r="K433" s="657">
        <f t="shared" si="12"/>
        <v>0</v>
      </c>
    </row>
    <row r="434" spans="1:11" s="311" customFormat="1" ht="15">
      <c r="A434" s="523"/>
      <c r="B434" s="524"/>
      <c r="C434" s="532"/>
      <c r="D434" s="524"/>
      <c r="E434" s="524"/>
      <c r="F434" s="538" t="s">
        <v>87</v>
      </c>
      <c r="G434" s="670" t="s">
        <v>88</v>
      </c>
      <c r="H434" s="650"/>
      <c r="I434" s="690"/>
      <c r="J434" s="690"/>
      <c r="K434" s="657">
        <f t="shared" si="12"/>
        <v>0</v>
      </c>
    </row>
    <row r="435" spans="1:11" s="311" customFormat="1" ht="15">
      <c r="A435" s="523"/>
      <c r="B435" s="524"/>
      <c r="C435" s="532"/>
      <c r="D435" s="524"/>
      <c r="E435" s="524"/>
      <c r="F435" s="526"/>
      <c r="G435" s="671" t="s">
        <v>439</v>
      </c>
      <c r="H435" s="655">
        <f>SUM(H432:H432)</f>
        <v>6000000</v>
      </c>
      <c r="I435" s="655">
        <f>SUM(I432:I432)</f>
        <v>0</v>
      </c>
      <c r="J435" s="655">
        <f>SUM(J432:J432)</f>
        <v>0</v>
      </c>
      <c r="K435" s="657">
        <f t="shared" si="12"/>
        <v>6000000</v>
      </c>
    </row>
    <row r="436" spans="1:11" s="311" customFormat="1" ht="42.75">
      <c r="A436" s="523"/>
      <c r="B436" s="524"/>
      <c r="C436" s="532"/>
      <c r="D436" s="524"/>
      <c r="E436" s="524"/>
      <c r="F436" s="476"/>
      <c r="G436" s="658" t="s">
        <v>605</v>
      </c>
      <c r="H436" s="654"/>
      <c r="I436" s="654"/>
      <c r="J436" s="654"/>
      <c r="K436" s="657">
        <f t="shared" si="12"/>
        <v>0</v>
      </c>
    </row>
    <row r="437" spans="1:11" s="311" customFormat="1" ht="15">
      <c r="A437" s="523"/>
      <c r="B437" s="524"/>
      <c r="C437" s="596"/>
      <c r="D437" s="698"/>
      <c r="E437" s="524"/>
      <c r="F437" s="538" t="s">
        <v>87</v>
      </c>
      <c r="G437" s="670" t="s">
        <v>88</v>
      </c>
      <c r="H437" s="650"/>
      <c r="I437" s="650"/>
      <c r="J437" s="650"/>
      <c r="K437" s="657">
        <f t="shared" si="12"/>
        <v>0</v>
      </c>
    </row>
    <row r="438" spans="1:11" s="311" customFormat="1" ht="28.5">
      <c r="A438" s="523"/>
      <c r="B438" s="524"/>
      <c r="C438" s="532"/>
      <c r="D438" s="524"/>
      <c r="E438" s="524"/>
      <c r="F438" s="526"/>
      <c r="G438" s="671" t="s">
        <v>606</v>
      </c>
      <c r="H438" s="655">
        <f>H435</f>
        <v>6000000</v>
      </c>
      <c r="I438" s="655">
        <f>I435</f>
        <v>0</v>
      </c>
      <c r="J438" s="655">
        <f>J435</f>
        <v>0</v>
      </c>
      <c r="K438" s="657">
        <f t="shared" si="12"/>
        <v>6000000</v>
      </c>
    </row>
    <row r="439" spans="1:11" s="311" customFormat="1" ht="15">
      <c r="A439" s="523"/>
      <c r="B439" s="524"/>
      <c r="C439" s="532"/>
      <c r="D439" s="524"/>
      <c r="E439" s="524"/>
      <c r="F439" s="526"/>
      <c r="G439" s="671" t="s">
        <v>343</v>
      </c>
      <c r="H439" s="655">
        <f>H438+H419+H429</f>
        <v>10000000</v>
      </c>
      <c r="I439" s="655">
        <f>I438+I419+I429</f>
        <v>0</v>
      </c>
      <c r="J439" s="655">
        <f>J438+J419+J429</f>
        <v>0</v>
      </c>
      <c r="K439" s="657">
        <f t="shared" si="12"/>
        <v>10000000</v>
      </c>
    </row>
    <row r="440" spans="1:11" s="311" customFormat="1" ht="29.25" customHeight="1">
      <c r="A440" s="576"/>
      <c r="B440" s="577"/>
      <c r="C440" s="563" t="s">
        <v>469</v>
      </c>
      <c r="D440" s="563"/>
      <c r="E440" s="524"/>
      <c r="F440" s="526"/>
      <c r="G440" s="671" t="s">
        <v>418</v>
      </c>
      <c r="H440" s="650"/>
      <c r="I440" s="690"/>
      <c r="J440" s="690"/>
      <c r="K440" s="657">
        <f t="shared" si="12"/>
        <v>0</v>
      </c>
    </row>
    <row r="441" spans="1:11" s="311" customFormat="1" ht="21.75" customHeight="1">
      <c r="A441" s="576"/>
      <c r="B441" s="577"/>
      <c r="C441" s="563"/>
      <c r="D441" s="593">
        <v>810</v>
      </c>
      <c r="E441" s="529"/>
      <c r="F441" s="530"/>
      <c r="G441" s="586" t="s">
        <v>419</v>
      </c>
      <c r="H441" s="666"/>
      <c r="I441" s="690"/>
      <c r="J441" s="690"/>
      <c r="K441" s="657">
        <f t="shared" si="12"/>
        <v>0</v>
      </c>
    </row>
    <row r="442" spans="1:11" s="311" customFormat="1" ht="79.5" customHeight="1">
      <c r="A442" s="576"/>
      <c r="B442" s="577"/>
      <c r="C442" s="525" t="s">
        <v>199</v>
      </c>
      <c r="D442" s="809"/>
      <c r="E442" s="524"/>
      <c r="F442" s="526"/>
      <c r="G442" s="685" t="s">
        <v>258</v>
      </c>
      <c r="H442" s="527"/>
      <c r="I442" s="649"/>
      <c r="J442" s="690"/>
      <c r="K442" s="657">
        <f t="shared" si="12"/>
        <v>0</v>
      </c>
    </row>
    <row r="443" spans="1:11" s="311" customFormat="1" ht="45" customHeight="1">
      <c r="A443" s="576"/>
      <c r="B443" s="577"/>
      <c r="C443" s="563"/>
      <c r="D443" s="563"/>
      <c r="E443" s="524">
        <v>104</v>
      </c>
      <c r="F443" s="526">
        <v>481</v>
      </c>
      <c r="G443" s="667" t="s">
        <v>697</v>
      </c>
      <c r="H443" s="534">
        <v>18000000</v>
      </c>
      <c r="I443" s="651"/>
      <c r="J443" s="688"/>
      <c r="K443" s="657">
        <f t="shared" si="12"/>
        <v>18000000</v>
      </c>
    </row>
    <row r="444" spans="1:11" s="311" customFormat="1" ht="27.75" customHeight="1">
      <c r="A444" s="576"/>
      <c r="B444" s="577"/>
      <c r="C444" s="563"/>
      <c r="D444" s="563"/>
      <c r="E444" s="524"/>
      <c r="F444" s="526"/>
      <c r="G444" s="699" t="s">
        <v>430</v>
      </c>
      <c r="H444" s="551"/>
      <c r="I444" s="700"/>
      <c r="J444" s="653"/>
      <c r="K444" s="657">
        <f t="shared" si="12"/>
        <v>0</v>
      </c>
    </row>
    <row r="445" spans="1:11" s="311" customFormat="1" ht="27.75" customHeight="1">
      <c r="A445" s="576"/>
      <c r="B445" s="577"/>
      <c r="C445" s="563"/>
      <c r="D445" s="563"/>
      <c r="E445" s="524"/>
      <c r="F445" s="526"/>
      <c r="G445" s="701" t="s">
        <v>88</v>
      </c>
      <c r="H445" s="551"/>
      <c r="I445" s="649"/>
      <c r="J445" s="690"/>
      <c r="K445" s="657">
        <f t="shared" si="12"/>
        <v>0</v>
      </c>
    </row>
    <row r="446" spans="1:11" s="311" customFormat="1" ht="27.75" customHeight="1">
      <c r="A446" s="576"/>
      <c r="B446" s="577"/>
      <c r="C446" s="563"/>
      <c r="D446" s="563"/>
      <c r="E446" s="524"/>
      <c r="F446" s="526"/>
      <c r="G446" s="671" t="s">
        <v>340</v>
      </c>
      <c r="H446" s="702">
        <f>SUM(H443:H443)</f>
        <v>18000000</v>
      </c>
      <c r="I446" s="703">
        <f>SUM(I443:I443)</f>
        <v>0</v>
      </c>
      <c r="J446" s="703">
        <f>SUM(J443:J443)</f>
        <v>0</v>
      </c>
      <c r="K446" s="657">
        <f t="shared" si="12"/>
        <v>18000000</v>
      </c>
    </row>
    <row r="447" spans="1:11" s="311" customFormat="1" ht="48.75" customHeight="1">
      <c r="A447" s="576"/>
      <c r="B447" s="577"/>
      <c r="C447" s="563"/>
      <c r="D447" s="563"/>
      <c r="E447" s="524"/>
      <c r="F447" s="526"/>
      <c r="G447" s="658" t="s">
        <v>431</v>
      </c>
      <c r="H447" s="608"/>
      <c r="I447" s="653"/>
      <c r="J447" s="653"/>
      <c r="K447" s="657">
        <f t="shared" si="12"/>
        <v>0</v>
      </c>
    </row>
    <row r="448" spans="1:11" s="311" customFormat="1" ht="27.75" customHeight="1">
      <c r="A448" s="576"/>
      <c r="B448" s="577"/>
      <c r="C448" s="563"/>
      <c r="D448" s="563"/>
      <c r="E448" s="524"/>
      <c r="F448" s="526"/>
      <c r="G448" s="670" t="s">
        <v>88</v>
      </c>
      <c r="H448" s="608"/>
      <c r="I448" s="690"/>
      <c r="J448" s="690"/>
      <c r="K448" s="657">
        <f t="shared" si="12"/>
        <v>0</v>
      </c>
    </row>
    <row r="449" spans="1:11" s="311" customFormat="1" ht="27.75" customHeight="1">
      <c r="A449" s="576"/>
      <c r="B449" s="577"/>
      <c r="C449" s="563"/>
      <c r="D449" s="563"/>
      <c r="E449" s="524"/>
      <c r="F449" s="526"/>
      <c r="G449" s="671" t="s">
        <v>432</v>
      </c>
      <c r="H449" s="703">
        <f>SUM(H446)</f>
        <v>18000000</v>
      </c>
      <c r="I449" s="703">
        <f>SUM(I446)</f>
        <v>0</v>
      </c>
      <c r="J449" s="703">
        <f>SUM(J446)</f>
        <v>0</v>
      </c>
      <c r="K449" s="657">
        <f t="shared" si="12"/>
        <v>18000000</v>
      </c>
    </row>
    <row r="450" spans="1:11" s="311" customFormat="1" ht="57">
      <c r="A450" s="523"/>
      <c r="B450" s="524"/>
      <c r="C450" s="525" t="s">
        <v>201</v>
      </c>
      <c r="D450" s="809"/>
      <c r="E450" s="524"/>
      <c r="F450" s="526"/>
      <c r="G450" s="663" t="s">
        <v>692</v>
      </c>
      <c r="H450" s="650"/>
      <c r="I450" s="690"/>
      <c r="J450" s="690"/>
      <c r="K450" s="657">
        <f aca="true" t="shared" si="13" ref="K450:K481">SUM(H450:J450)</f>
        <v>0</v>
      </c>
    </row>
    <row r="451" spans="1:11" s="311" customFormat="1" ht="78" customHeight="1">
      <c r="A451" s="576"/>
      <c r="B451" s="577"/>
      <c r="C451" s="563"/>
      <c r="D451" s="556"/>
      <c r="E451" s="556"/>
      <c r="F451" s="704" t="s">
        <v>795</v>
      </c>
      <c r="G451" s="705" t="s">
        <v>786</v>
      </c>
      <c r="H451" s="650"/>
      <c r="I451" s="690"/>
      <c r="J451" s="690"/>
      <c r="K451" s="657">
        <f t="shared" si="13"/>
        <v>0</v>
      </c>
    </row>
    <row r="452" spans="1:11" s="311" customFormat="1" ht="45">
      <c r="A452" s="523"/>
      <c r="B452" s="524"/>
      <c r="C452" s="532"/>
      <c r="D452" s="524"/>
      <c r="E452" s="524">
        <v>105</v>
      </c>
      <c r="F452" s="476">
        <v>481</v>
      </c>
      <c r="G452" s="672" t="s">
        <v>696</v>
      </c>
      <c r="H452" s="651">
        <v>250000</v>
      </c>
      <c r="I452" s="688"/>
      <c r="J452" s="688"/>
      <c r="K452" s="657">
        <f t="shared" si="13"/>
        <v>250000</v>
      </c>
    </row>
    <row r="453" spans="1:11" s="311" customFormat="1" ht="28.5">
      <c r="A453" s="523"/>
      <c r="B453" s="524"/>
      <c r="C453" s="532"/>
      <c r="D453" s="524"/>
      <c r="E453" s="535"/>
      <c r="F453" s="476"/>
      <c r="G453" s="658" t="s">
        <v>430</v>
      </c>
      <c r="H453" s="654"/>
      <c r="I453" s="653"/>
      <c r="J453" s="653"/>
      <c r="K453" s="657">
        <f t="shared" si="13"/>
        <v>0</v>
      </c>
    </row>
    <row r="454" spans="1:11" s="311" customFormat="1" ht="15" customHeight="1">
      <c r="A454" s="523"/>
      <c r="B454" s="524"/>
      <c r="C454" s="532"/>
      <c r="D454" s="524"/>
      <c r="E454" s="524"/>
      <c r="F454" s="538" t="s">
        <v>87</v>
      </c>
      <c r="G454" s="670" t="s">
        <v>88</v>
      </c>
      <c r="H454" s="650"/>
      <c r="I454" s="690"/>
      <c r="J454" s="690"/>
      <c r="K454" s="657">
        <f t="shared" si="13"/>
        <v>0</v>
      </c>
    </row>
    <row r="455" spans="1:11" s="311" customFormat="1" ht="15">
      <c r="A455" s="523"/>
      <c r="B455" s="524"/>
      <c r="C455" s="532"/>
      <c r="D455" s="524"/>
      <c r="E455" s="524"/>
      <c r="F455" s="526"/>
      <c r="G455" s="671" t="s">
        <v>340</v>
      </c>
      <c r="H455" s="655">
        <f>SUM(H452:H452)</f>
        <v>250000</v>
      </c>
      <c r="I455" s="655">
        <f>SUM(I452:I452)</f>
        <v>0</v>
      </c>
      <c r="J455" s="655">
        <f>SUM(J452:J452)</f>
        <v>0</v>
      </c>
      <c r="K455" s="657">
        <f t="shared" si="13"/>
        <v>250000</v>
      </c>
    </row>
    <row r="456" spans="1:11" s="311" customFormat="1" ht="42.75" collapsed="1">
      <c r="A456" s="523"/>
      <c r="B456" s="524"/>
      <c r="C456" s="532"/>
      <c r="D456" s="524"/>
      <c r="E456" s="535"/>
      <c r="F456" s="476"/>
      <c r="G456" s="658" t="s">
        <v>433</v>
      </c>
      <c r="H456" s="654"/>
      <c r="I456" s="654"/>
      <c r="J456" s="654"/>
      <c r="K456" s="657">
        <f t="shared" si="13"/>
        <v>0</v>
      </c>
    </row>
    <row r="457" spans="1:11" s="311" customFormat="1" ht="15">
      <c r="A457" s="523"/>
      <c r="B457" s="524"/>
      <c r="C457" s="532"/>
      <c r="D457" s="524"/>
      <c r="E457" s="524"/>
      <c r="F457" s="538" t="s">
        <v>87</v>
      </c>
      <c r="G457" s="670" t="s">
        <v>88</v>
      </c>
      <c r="H457" s="650"/>
      <c r="I457" s="650"/>
      <c r="J457" s="650"/>
      <c r="K457" s="657">
        <f t="shared" si="13"/>
        <v>0</v>
      </c>
    </row>
    <row r="458" spans="1:11" s="311" customFormat="1" ht="28.5" collapsed="1">
      <c r="A458" s="523"/>
      <c r="B458" s="524"/>
      <c r="C458" s="532"/>
      <c r="D458" s="524"/>
      <c r="E458" s="524"/>
      <c r="F458" s="526"/>
      <c r="G458" s="671" t="s">
        <v>434</v>
      </c>
      <c r="H458" s="655">
        <f>SUM(H455)</f>
        <v>250000</v>
      </c>
      <c r="I458" s="655">
        <f>SUM(I455)</f>
        <v>0</v>
      </c>
      <c r="J458" s="655">
        <f>SUM(J455)</f>
        <v>0</v>
      </c>
      <c r="K458" s="657">
        <f t="shared" si="13"/>
        <v>250000</v>
      </c>
    </row>
    <row r="459" spans="1:11" s="311" customFormat="1" ht="15">
      <c r="A459" s="576"/>
      <c r="B459" s="577"/>
      <c r="C459" s="563"/>
      <c r="D459" s="556"/>
      <c r="E459" s="556"/>
      <c r="F459" s="584"/>
      <c r="G459" s="556"/>
      <c r="H459" s="650"/>
      <c r="I459" s="690"/>
      <c r="J459" s="690"/>
      <c r="K459" s="657">
        <f t="shared" si="13"/>
        <v>0</v>
      </c>
    </row>
    <row r="460" spans="1:11" s="311" customFormat="1" ht="71.25">
      <c r="A460" s="523"/>
      <c r="B460" s="524"/>
      <c r="C460" s="525" t="s">
        <v>202</v>
      </c>
      <c r="D460" s="809"/>
      <c r="E460" s="524"/>
      <c r="F460" s="526"/>
      <c r="G460" s="663" t="s">
        <v>259</v>
      </c>
      <c r="H460" s="650"/>
      <c r="I460" s="690"/>
      <c r="J460" s="690"/>
      <c r="K460" s="657">
        <f t="shared" si="13"/>
        <v>0</v>
      </c>
    </row>
    <row r="461" spans="1:11" s="311" customFormat="1" ht="15">
      <c r="A461" s="576"/>
      <c r="B461" s="577"/>
      <c r="C461" s="563"/>
      <c r="D461" s="593">
        <v>810</v>
      </c>
      <c r="E461" s="529"/>
      <c r="F461" s="530"/>
      <c r="G461" s="586" t="s">
        <v>419</v>
      </c>
      <c r="H461" s="608"/>
      <c r="I461" s="690"/>
      <c r="J461" s="690"/>
      <c r="K461" s="657">
        <f t="shared" si="13"/>
        <v>0</v>
      </c>
    </row>
    <row r="462" spans="1:11" s="311" customFormat="1" ht="30">
      <c r="A462" s="523"/>
      <c r="B462" s="524"/>
      <c r="C462" s="532"/>
      <c r="D462" s="524"/>
      <c r="E462" s="524">
        <v>106</v>
      </c>
      <c r="F462" s="476">
        <v>511</v>
      </c>
      <c r="G462" s="672" t="s">
        <v>237</v>
      </c>
      <c r="H462" s="651">
        <v>0</v>
      </c>
      <c r="I462" s="651"/>
      <c r="J462" s="688"/>
      <c r="K462" s="657">
        <f t="shared" si="13"/>
        <v>0</v>
      </c>
    </row>
    <row r="463" spans="1:11" s="311" customFormat="1" ht="15">
      <c r="A463" s="523"/>
      <c r="B463" s="524"/>
      <c r="C463" s="532"/>
      <c r="D463" s="524"/>
      <c r="E463" s="524">
        <v>107</v>
      </c>
      <c r="F463" s="476">
        <v>512</v>
      </c>
      <c r="G463" s="672" t="s">
        <v>238</v>
      </c>
      <c r="H463" s="651">
        <v>0</v>
      </c>
      <c r="I463" s="651"/>
      <c r="J463" s="688"/>
      <c r="K463" s="657">
        <f t="shared" si="13"/>
        <v>0</v>
      </c>
    </row>
    <row r="464" spans="1:11" s="311" customFormat="1" ht="28.5">
      <c r="A464" s="576"/>
      <c r="B464" s="577"/>
      <c r="C464" s="532"/>
      <c r="D464" s="524"/>
      <c r="E464" s="535"/>
      <c r="F464" s="476"/>
      <c r="G464" s="658" t="s">
        <v>430</v>
      </c>
      <c r="H464" s="654"/>
      <c r="I464" s="653"/>
      <c r="J464" s="653"/>
      <c r="K464" s="657">
        <f t="shared" si="13"/>
        <v>0</v>
      </c>
    </row>
    <row r="465" spans="1:11" s="311" customFormat="1" ht="15">
      <c r="A465" s="523"/>
      <c r="B465" s="524"/>
      <c r="C465" s="532"/>
      <c r="D465" s="524"/>
      <c r="E465" s="524"/>
      <c r="F465" s="538" t="s">
        <v>87</v>
      </c>
      <c r="G465" s="670" t="s">
        <v>88</v>
      </c>
      <c r="H465" s="650"/>
      <c r="I465" s="690"/>
      <c r="J465" s="690"/>
      <c r="K465" s="657">
        <f t="shared" si="13"/>
        <v>0</v>
      </c>
    </row>
    <row r="466" spans="1:11" s="311" customFormat="1" ht="15">
      <c r="A466" s="523"/>
      <c r="B466" s="524"/>
      <c r="C466" s="532"/>
      <c r="D466" s="524"/>
      <c r="E466" s="524"/>
      <c r="F466" s="526"/>
      <c r="G466" s="671" t="s">
        <v>340</v>
      </c>
      <c r="H466" s="655">
        <f>SUM(H462:H463)</f>
        <v>0</v>
      </c>
      <c r="I466" s="655">
        <f>SUM(I462:I463)</f>
        <v>0</v>
      </c>
      <c r="J466" s="703">
        <f>SUM(J462:J463)</f>
        <v>0</v>
      </c>
      <c r="K466" s="657">
        <f t="shared" si="13"/>
        <v>0</v>
      </c>
    </row>
    <row r="467" spans="1:11" s="311" customFormat="1" ht="42.75">
      <c r="A467" s="523"/>
      <c r="B467" s="524"/>
      <c r="C467" s="532"/>
      <c r="D467" s="524"/>
      <c r="E467" s="535"/>
      <c r="F467" s="476"/>
      <c r="G467" s="658" t="s">
        <v>433</v>
      </c>
      <c r="H467" s="654"/>
      <c r="I467" s="654"/>
      <c r="J467" s="653"/>
      <c r="K467" s="657">
        <f t="shared" si="13"/>
        <v>0</v>
      </c>
    </row>
    <row r="468" spans="1:11" s="311" customFormat="1" ht="15">
      <c r="A468" s="523"/>
      <c r="B468" s="524"/>
      <c r="C468" s="532"/>
      <c r="D468" s="524"/>
      <c r="E468" s="524"/>
      <c r="F468" s="538" t="s">
        <v>87</v>
      </c>
      <c r="G468" s="670" t="s">
        <v>88</v>
      </c>
      <c r="H468" s="655"/>
      <c r="I468" s="655"/>
      <c r="J468" s="703"/>
      <c r="K468" s="657">
        <f t="shared" si="13"/>
        <v>0</v>
      </c>
    </row>
    <row r="469" spans="1:11" s="311" customFormat="1" ht="28.5">
      <c r="A469" s="523"/>
      <c r="B469" s="524"/>
      <c r="C469" s="532"/>
      <c r="D469" s="524"/>
      <c r="E469" s="524"/>
      <c r="F469" s="526"/>
      <c r="G469" s="671" t="s">
        <v>699</v>
      </c>
      <c r="H469" s="655">
        <f>SUM(H466)</f>
        <v>0</v>
      </c>
      <c r="I469" s="655">
        <f>SUM(I466)</f>
        <v>0</v>
      </c>
      <c r="J469" s="703">
        <f>SUM(J466)</f>
        <v>0</v>
      </c>
      <c r="K469" s="657">
        <f t="shared" si="13"/>
        <v>0</v>
      </c>
    </row>
    <row r="470" spans="1:11" s="311" customFormat="1" ht="15">
      <c r="A470" s="523"/>
      <c r="B470" s="524"/>
      <c r="C470" s="563"/>
      <c r="D470" s="556"/>
      <c r="E470" s="556"/>
      <c r="F470" s="584"/>
      <c r="G470" s="556"/>
      <c r="H470" s="655"/>
      <c r="I470" s="703"/>
      <c r="J470" s="703"/>
      <c r="K470" s="657">
        <f t="shared" si="13"/>
        <v>0</v>
      </c>
    </row>
    <row r="471" spans="1:11" s="311" customFormat="1" ht="28.5" collapsed="1">
      <c r="A471" s="523"/>
      <c r="B471" s="524"/>
      <c r="C471" s="559"/>
      <c r="D471" s="560"/>
      <c r="E471" s="560"/>
      <c r="F471" s="476"/>
      <c r="G471" s="658" t="s">
        <v>698</v>
      </c>
      <c r="H471" s="654"/>
      <c r="I471" s="653"/>
      <c r="J471" s="653"/>
      <c r="K471" s="657">
        <f t="shared" si="13"/>
        <v>0</v>
      </c>
    </row>
    <row r="472" spans="1:11" s="311" customFormat="1" ht="15">
      <c r="A472" s="523"/>
      <c r="B472" s="524"/>
      <c r="C472" s="559"/>
      <c r="D472" s="560"/>
      <c r="E472" s="560"/>
      <c r="F472" s="538" t="s">
        <v>87</v>
      </c>
      <c r="G472" s="670" t="s">
        <v>88</v>
      </c>
      <c r="H472" s="655"/>
      <c r="I472" s="703"/>
      <c r="J472" s="703"/>
      <c r="K472" s="657">
        <f t="shared" si="13"/>
        <v>0</v>
      </c>
    </row>
    <row r="473" spans="1:11" s="791" customFormat="1" ht="15">
      <c r="A473" s="576"/>
      <c r="B473" s="577"/>
      <c r="C473" s="559"/>
      <c r="D473" s="560"/>
      <c r="E473" s="560"/>
      <c r="F473" s="526"/>
      <c r="G473" s="671" t="s">
        <v>683</v>
      </c>
      <c r="H473" s="655">
        <f>SUM(H469+H458+H449)</f>
        <v>18250000</v>
      </c>
      <c r="I473" s="655">
        <f>SUM(I469+I458+I449)</f>
        <v>0</v>
      </c>
      <c r="J473" s="655">
        <f>SUM(J469+J458+J449)</f>
        <v>0</v>
      </c>
      <c r="K473" s="657">
        <f t="shared" si="13"/>
        <v>18250000</v>
      </c>
    </row>
    <row r="474" spans="1:11" s="792" customFormat="1" ht="41.25" customHeight="1">
      <c r="A474" s="576"/>
      <c r="B474" s="577"/>
      <c r="C474" s="563" t="s">
        <v>722</v>
      </c>
      <c r="D474" s="563"/>
      <c r="E474" s="524"/>
      <c r="F474" s="526"/>
      <c r="G474" s="706" t="s">
        <v>721</v>
      </c>
      <c r="H474" s="650"/>
      <c r="I474" s="690"/>
      <c r="J474" s="690"/>
      <c r="K474" s="657">
        <f t="shared" si="13"/>
        <v>0</v>
      </c>
    </row>
    <row r="475" spans="1:11" s="792" customFormat="1" ht="15">
      <c r="A475" s="576"/>
      <c r="B475" s="577"/>
      <c r="C475" s="563"/>
      <c r="D475" s="593">
        <v>483</v>
      </c>
      <c r="E475" s="529"/>
      <c r="F475" s="530"/>
      <c r="G475" s="707" t="s">
        <v>643</v>
      </c>
      <c r="H475" s="708"/>
      <c r="I475" s="709"/>
      <c r="J475" s="709"/>
      <c r="K475" s="657">
        <f t="shared" si="13"/>
        <v>0</v>
      </c>
    </row>
    <row r="476" spans="1:11" s="792" customFormat="1" ht="57">
      <c r="A476" s="576"/>
      <c r="B476" s="577"/>
      <c r="C476" s="525" t="s">
        <v>723</v>
      </c>
      <c r="D476" s="809"/>
      <c r="E476" s="524"/>
      <c r="F476" s="526"/>
      <c r="G476" s="685" t="s">
        <v>724</v>
      </c>
      <c r="H476" s="527"/>
      <c r="I476" s="527"/>
      <c r="J476" s="527"/>
      <c r="K476" s="657">
        <f t="shared" si="13"/>
        <v>0</v>
      </c>
    </row>
    <row r="477" spans="1:11" s="792" customFormat="1" ht="45">
      <c r="A477" s="576"/>
      <c r="B477" s="577"/>
      <c r="C477" s="563"/>
      <c r="D477" s="563"/>
      <c r="E477" s="524">
        <v>108</v>
      </c>
      <c r="F477" s="526">
        <v>511</v>
      </c>
      <c r="G477" s="667" t="s">
        <v>785</v>
      </c>
      <c r="H477" s="534">
        <v>9000000</v>
      </c>
      <c r="I477" s="534"/>
      <c r="J477" s="419"/>
      <c r="K477" s="657">
        <f t="shared" si="13"/>
        <v>9000000</v>
      </c>
    </row>
    <row r="478" spans="1:11" s="792" customFormat="1" ht="28.5">
      <c r="A478" s="576"/>
      <c r="B478" s="577"/>
      <c r="C478" s="563"/>
      <c r="D478" s="563"/>
      <c r="E478" s="524"/>
      <c r="F478" s="526"/>
      <c r="G478" s="699" t="s">
        <v>728</v>
      </c>
      <c r="H478" s="537"/>
      <c r="I478" s="537"/>
      <c r="J478" s="537"/>
      <c r="K478" s="657">
        <f t="shared" si="13"/>
        <v>0</v>
      </c>
    </row>
    <row r="479" spans="1:11" s="792" customFormat="1" ht="15">
      <c r="A479" s="576"/>
      <c r="B479" s="577"/>
      <c r="C479" s="563"/>
      <c r="D479" s="563"/>
      <c r="E479" s="524"/>
      <c r="F479" s="526"/>
      <c r="G479" s="670" t="s">
        <v>88</v>
      </c>
      <c r="H479" s="648"/>
      <c r="I479" s="647"/>
      <c r="J479" s="647"/>
      <c r="K479" s="657">
        <f t="shared" si="13"/>
        <v>0</v>
      </c>
    </row>
    <row r="480" spans="1:11" s="792" customFormat="1" ht="15">
      <c r="A480" s="576"/>
      <c r="B480" s="577"/>
      <c r="C480" s="563"/>
      <c r="D480" s="563"/>
      <c r="E480" s="524"/>
      <c r="F480" s="526"/>
      <c r="G480" s="671" t="s">
        <v>725</v>
      </c>
      <c r="H480" s="655">
        <f>SUM(H477:H477)</f>
        <v>9000000</v>
      </c>
      <c r="I480" s="655">
        <f>SUM(I477:I477)</f>
        <v>0</v>
      </c>
      <c r="J480" s="703">
        <f>SUM(J477:J477)</f>
        <v>0</v>
      </c>
      <c r="K480" s="657">
        <f t="shared" si="13"/>
        <v>9000000</v>
      </c>
    </row>
    <row r="481" spans="1:11" s="792" customFormat="1" ht="42.75">
      <c r="A481" s="576"/>
      <c r="B481" s="577"/>
      <c r="C481" s="563"/>
      <c r="D481" s="563"/>
      <c r="E481" s="524"/>
      <c r="F481" s="526"/>
      <c r="G481" s="658" t="s">
        <v>726</v>
      </c>
      <c r="H481" s="654"/>
      <c r="I481" s="654"/>
      <c r="J481" s="653"/>
      <c r="K481" s="657">
        <f t="shared" si="13"/>
        <v>0</v>
      </c>
    </row>
    <row r="482" spans="1:11" s="792" customFormat="1" ht="15">
      <c r="A482" s="576"/>
      <c r="B482" s="577"/>
      <c r="C482" s="563"/>
      <c r="D482" s="563"/>
      <c r="E482" s="524"/>
      <c r="F482" s="526"/>
      <c r="G482" s="670" t="s">
        <v>88</v>
      </c>
      <c r="H482" s="650"/>
      <c r="I482" s="650"/>
      <c r="J482" s="690"/>
      <c r="K482" s="657">
        <f aca="true" t="shared" si="14" ref="K482:K510">SUM(H482:J482)</f>
        <v>0</v>
      </c>
    </row>
    <row r="483" spans="1:11" s="792" customFormat="1" ht="28.5">
      <c r="A483" s="576"/>
      <c r="B483" s="577"/>
      <c r="C483" s="563"/>
      <c r="D483" s="563"/>
      <c r="E483" s="524"/>
      <c r="F483" s="526"/>
      <c r="G483" s="671" t="s">
        <v>727</v>
      </c>
      <c r="H483" s="655">
        <f>SUM(H480)</f>
        <v>9000000</v>
      </c>
      <c r="I483" s="655">
        <f>SUM(I480)</f>
        <v>0</v>
      </c>
      <c r="J483" s="703">
        <f>SUM(J480)</f>
        <v>0</v>
      </c>
      <c r="K483" s="657">
        <f t="shared" si="14"/>
        <v>9000000</v>
      </c>
    </row>
    <row r="484" spans="1:11" s="311" customFormat="1" ht="48" customHeight="1">
      <c r="A484" s="523"/>
      <c r="B484" s="524"/>
      <c r="C484" s="532"/>
      <c r="D484" s="524"/>
      <c r="E484" s="524"/>
      <c r="F484" s="526"/>
      <c r="G484" s="671" t="s">
        <v>627</v>
      </c>
      <c r="H484" s="655">
        <f>SUM(H483+H473+H439+H408+H379+H336+H325+H313+H302+H269+H251+H228+H217+H197+H143+H120)</f>
        <v>409676000</v>
      </c>
      <c r="I484" s="655">
        <f>SUM(I483+I473+I439+I408+I379+I336+I325+I313+I302+I269+I251+I228+I217+I197+I143+I120)</f>
        <v>0</v>
      </c>
      <c r="J484" s="655">
        <f>SUM(J483+J473+J439+J408+J379+J336+J325+J313+J302+J269+J251+J228+J217+J197+J143+J120)</f>
        <v>0</v>
      </c>
      <c r="K484" s="710">
        <f>SUM(K483+K473+K439+K408+K379+K336+K325+K313+K302+K269+K251+K228+K217+K197+K143+K120)</f>
        <v>409676000</v>
      </c>
    </row>
    <row r="485" spans="1:11" s="311" customFormat="1" ht="38.25" customHeight="1">
      <c r="A485" s="523"/>
      <c r="B485" s="547">
        <v>4.02</v>
      </c>
      <c r="C485" s="532"/>
      <c r="D485" s="524"/>
      <c r="E485" s="524"/>
      <c r="F485" s="526"/>
      <c r="G485" s="671"/>
      <c r="H485" s="655"/>
      <c r="I485" s="703"/>
      <c r="J485" s="703"/>
      <c r="K485" s="657">
        <f t="shared" si="14"/>
        <v>0</v>
      </c>
    </row>
    <row r="486" spans="1:11" s="311" customFormat="1" ht="15">
      <c r="A486" s="523"/>
      <c r="B486" s="524"/>
      <c r="C486" s="525" t="s">
        <v>470</v>
      </c>
      <c r="D486" s="524"/>
      <c r="E486" s="524"/>
      <c r="F486" s="526"/>
      <c r="G486" s="711" t="s">
        <v>330</v>
      </c>
      <c r="H486" s="650"/>
      <c r="I486" s="690"/>
      <c r="J486" s="690"/>
      <c r="K486" s="657">
        <f t="shared" si="14"/>
        <v>0</v>
      </c>
    </row>
    <row r="487" spans="1:11" s="311" customFormat="1" ht="15.75">
      <c r="A487" s="523"/>
      <c r="B487" s="524"/>
      <c r="C487" s="569" t="s">
        <v>206</v>
      </c>
      <c r="D487" s="556"/>
      <c r="E487" s="556"/>
      <c r="F487" s="526"/>
      <c r="G487" s="712" t="s">
        <v>678</v>
      </c>
      <c r="H487" s="713"/>
      <c r="I487" s="714"/>
      <c r="J487" s="715"/>
      <c r="K487" s="657">
        <f t="shared" si="14"/>
        <v>0</v>
      </c>
    </row>
    <row r="488" spans="1:11" s="311" customFormat="1" ht="45">
      <c r="A488" s="523"/>
      <c r="B488" s="524"/>
      <c r="C488" s="525"/>
      <c r="D488" s="529">
        <v>160</v>
      </c>
      <c r="E488" s="529"/>
      <c r="F488" s="530"/>
      <c r="G488" s="716" t="s">
        <v>171</v>
      </c>
      <c r="H488" s="527"/>
      <c r="I488" s="527"/>
      <c r="J488" s="649"/>
      <c r="K488" s="657">
        <f t="shared" si="14"/>
        <v>0</v>
      </c>
    </row>
    <row r="489" spans="1:11" s="311" customFormat="1" ht="15">
      <c r="A489" s="523"/>
      <c r="B489" s="524"/>
      <c r="C489" s="532"/>
      <c r="D489" s="524"/>
      <c r="E489" s="524">
        <v>109</v>
      </c>
      <c r="F489" s="476">
        <v>421</v>
      </c>
      <c r="G489" s="667" t="s">
        <v>299</v>
      </c>
      <c r="H489" s="534">
        <v>600000</v>
      </c>
      <c r="I489" s="534"/>
      <c r="J489" s="681"/>
      <c r="K489" s="657">
        <f t="shared" si="14"/>
        <v>600000</v>
      </c>
    </row>
    <row r="490" spans="1:11" s="311" customFormat="1" ht="15">
      <c r="A490" s="523"/>
      <c r="B490" s="524"/>
      <c r="C490" s="532"/>
      <c r="D490" s="524"/>
      <c r="E490" s="524">
        <v>110</v>
      </c>
      <c r="F490" s="476">
        <v>422</v>
      </c>
      <c r="G490" s="667" t="s">
        <v>300</v>
      </c>
      <c r="H490" s="534">
        <v>50000</v>
      </c>
      <c r="I490" s="534"/>
      <c r="J490" s="681"/>
      <c r="K490" s="657">
        <f t="shared" si="14"/>
        <v>50000</v>
      </c>
    </row>
    <row r="491" spans="1:11" s="311" customFormat="1" ht="15">
      <c r="A491" s="523"/>
      <c r="B491" s="524"/>
      <c r="C491" s="532"/>
      <c r="D491" s="524"/>
      <c r="E491" s="524">
        <v>111</v>
      </c>
      <c r="F491" s="476">
        <v>423</v>
      </c>
      <c r="G491" s="667" t="s">
        <v>301</v>
      </c>
      <c r="H491" s="534">
        <v>300000</v>
      </c>
      <c r="I491" s="534"/>
      <c r="J491" s="681"/>
      <c r="K491" s="657">
        <f t="shared" si="14"/>
        <v>300000</v>
      </c>
    </row>
    <row r="492" spans="1:11" s="311" customFormat="1" ht="15">
      <c r="A492" s="523"/>
      <c r="B492" s="524"/>
      <c r="C492" s="532"/>
      <c r="D492" s="524"/>
      <c r="E492" s="524">
        <v>112</v>
      </c>
      <c r="F492" s="476">
        <v>424</v>
      </c>
      <c r="G492" s="667" t="s">
        <v>303</v>
      </c>
      <c r="H492" s="534">
        <v>200000</v>
      </c>
      <c r="I492" s="534"/>
      <c r="J492" s="681"/>
      <c r="K492" s="657">
        <f t="shared" si="14"/>
        <v>200000</v>
      </c>
    </row>
    <row r="493" spans="1:11" s="311" customFormat="1" ht="30">
      <c r="A493" s="523"/>
      <c r="B493" s="524"/>
      <c r="C493" s="532"/>
      <c r="D493" s="524"/>
      <c r="E493" s="524">
        <v>113</v>
      </c>
      <c r="F493" s="476">
        <v>425</v>
      </c>
      <c r="G493" s="667" t="s">
        <v>231</v>
      </c>
      <c r="H493" s="534">
        <v>3000000</v>
      </c>
      <c r="I493" s="534"/>
      <c r="J493" s="681"/>
      <c r="K493" s="657">
        <f t="shared" si="14"/>
        <v>3000000</v>
      </c>
    </row>
    <row r="494" spans="1:11" s="311" customFormat="1" ht="15">
      <c r="A494" s="523"/>
      <c r="B494" s="524"/>
      <c r="C494" s="532"/>
      <c r="D494" s="524"/>
      <c r="E494" s="524">
        <v>114</v>
      </c>
      <c r="F494" s="476">
        <v>426</v>
      </c>
      <c r="G494" s="667" t="s">
        <v>307</v>
      </c>
      <c r="H494" s="534">
        <v>200000</v>
      </c>
      <c r="I494" s="534"/>
      <c r="J494" s="681"/>
      <c r="K494" s="657">
        <f t="shared" si="14"/>
        <v>200000</v>
      </c>
    </row>
    <row r="495" spans="1:11" s="311" customFormat="1" ht="30">
      <c r="A495" s="523"/>
      <c r="B495" s="524"/>
      <c r="C495" s="532"/>
      <c r="D495" s="524"/>
      <c r="E495" s="524">
        <v>115</v>
      </c>
      <c r="F495" s="476">
        <v>482</v>
      </c>
      <c r="G495" s="667" t="s">
        <v>234</v>
      </c>
      <c r="H495" s="534">
        <v>50000</v>
      </c>
      <c r="I495" s="534"/>
      <c r="J495" s="681"/>
      <c r="K495" s="657">
        <f t="shared" si="14"/>
        <v>50000</v>
      </c>
    </row>
    <row r="496" spans="1:11" s="311" customFormat="1" ht="30">
      <c r="A496" s="523"/>
      <c r="B496" s="524"/>
      <c r="C496" s="532"/>
      <c r="D496" s="524"/>
      <c r="E496" s="524">
        <v>116</v>
      </c>
      <c r="F496" s="476">
        <v>483</v>
      </c>
      <c r="G496" s="667" t="s">
        <v>235</v>
      </c>
      <c r="H496" s="534">
        <v>150000</v>
      </c>
      <c r="I496" s="534"/>
      <c r="J496" s="681"/>
      <c r="K496" s="657">
        <f t="shared" si="14"/>
        <v>150000</v>
      </c>
    </row>
    <row r="497" spans="1:11" s="311" customFormat="1" ht="28.5">
      <c r="A497" s="523"/>
      <c r="B497" s="524"/>
      <c r="C497" s="532"/>
      <c r="D497" s="524"/>
      <c r="E497" s="535"/>
      <c r="F497" s="476"/>
      <c r="G497" s="689" t="s">
        <v>440</v>
      </c>
      <c r="H497" s="669"/>
      <c r="I497" s="717"/>
      <c r="J497" s="653"/>
      <c r="K497" s="657">
        <f t="shared" si="14"/>
        <v>0</v>
      </c>
    </row>
    <row r="498" spans="1:11" s="311" customFormat="1" ht="15">
      <c r="A498" s="523"/>
      <c r="B498" s="524"/>
      <c r="C498" s="532"/>
      <c r="D498" s="524"/>
      <c r="E498" s="524"/>
      <c r="F498" s="538" t="s">
        <v>87</v>
      </c>
      <c r="G498" s="670" t="s">
        <v>88</v>
      </c>
      <c r="H498" s="650">
        <f>SUM(H489:H497)</f>
        <v>4550000</v>
      </c>
      <c r="I498" s="690"/>
      <c r="J498" s="690">
        <f>SUM(J489:J497)</f>
        <v>0</v>
      </c>
      <c r="K498" s="657">
        <f t="shared" si="14"/>
        <v>4550000</v>
      </c>
    </row>
    <row r="499" spans="1:11" s="311" customFormat="1" ht="28.5">
      <c r="A499" s="523"/>
      <c r="B499" s="524"/>
      <c r="C499" s="532"/>
      <c r="D499" s="524"/>
      <c r="E499" s="524"/>
      <c r="F499" s="526"/>
      <c r="G499" s="671" t="s">
        <v>442</v>
      </c>
      <c r="H499" s="655">
        <f aca="true" t="shared" si="15" ref="H499:J500">SUM(H498)</f>
        <v>4550000</v>
      </c>
      <c r="I499" s="655">
        <f t="shared" si="15"/>
        <v>0</v>
      </c>
      <c r="J499" s="703">
        <f t="shared" si="15"/>
        <v>0</v>
      </c>
      <c r="K499" s="657">
        <f t="shared" si="14"/>
        <v>4550000</v>
      </c>
    </row>
    <row r="500" spans="1:11" s="311" customFormat="1" ht="15">
      <c r="A500" s="576"/>
      <c r="B500" s="809"/>
      <c r="C500" s="559"/>
      <c r="D500" s="560"/>
      <c r="E500" s="560"/>
      <c r="F500" s="561"/>
      <c r="G500" s="671" t="s">
        <v>717</v>
      </c>
      <c r="H500" s="655">
        <f t="shared" si="15"/>
        <v>4550000</v>
      </c>
      <c r="I500" s="655">
        <f t="shared" si="15"/>
        <v>0</v>
      </c>
      <c r="J500" s="703">
        <f t="shared" si="15"/>
        <v>0</v>
      </c>
      <c r="K500" s="657">
        <f t="shared" si="14"/>
        <v>4550000</v>
      </c>
    </row>
    <row r="501" spans="1:11" s="311" customFormat="1" ht="15">
      <c r="A501" s="523"/>
      <c r="B501" s="524"/>
      <c r="C501" s="532"/>
      <c r="D501" s="524"/>
      <c r="E501" s="524"/>
      <c r="F501" s="526"/>
      <c r="G501" s="671"/>
      <c r="H501" s="650"/>
      <c r="I501" s="690"/>
      <c r="J501" s="690"/>
      <c r="K501" s="657">
        <f t="shared" si="14"/>
        <v>0</v>
      </c>
    </row>
    <row r="502" spans="1:11" s="311" customFormat="1" ht="15">
      <c r="A502" s="576"/>
      <c r="B502" s="718">
        <v>4.03</v>
      </c>
      <c r="C502" s="559"/>
      <c r="D502" s="719"/>
      <c r="E502" s="720"/>
      <c r="F502" s="721"/>
      <c r="G502" s="722" t="s">
        <v>250</v>
      </c>
      <c r="H502" s="650"/>
      <c r="I502" s="690"/>
      <c r="J502" s="690"/>
      <c r="K502" s="657">
        <f t="shared" si="14"/>
        <v>0</v>
      </c>
    </row>
    <row r="503" spans="1:11" s="311" customFormat="1" ht="28.5">
      <c r="A503" s="523"/>
      <c r="B503" s="524"/>
      <c r="C503" s="525" t="s">
        <v>399</v>
      </c>
      <c r="D503" s="524"/>
      <c r="E503" s="524"/>
      <c r="F503" s="526"/>
      <c r="G503" s="723" t="s">
        <v>331</v>
      </c>
      <c r="H503" s="650"/>
      <c r="I503" s="690"/>
      <c r="J503" s="690"/>
      <c r="K503" s="657">
        <f t="shared" si="14"/>
        <v>0</v>
      </c>
    </row>
    <row r="504" spans="1:11" s="311" customFormat="1" ht="15">
      <c r="A504" s="523"/>
      <c r="B504" s="524"/>
      <c r="C504" s="569" t="s">
        <v>181</v>
      </c>
      <c r="D504" s="556"/>
      <c r="E504" s="556"/>
      <c r="F504" s="526"/>
      <c r="G504" s="662" t="s">
        <v>263</v>
      </c>
      <c r="H504" s="650"/>
      <c r="I504" s="690"/>
      <c r="J504" s="690"/>
      <c r="K504" s="657">
        <f t="shared" si="14"/>
        <v>0</v>
      </c>
    </row>
    <row r="505" spans="1:11" s="311" customFormat="1" ht="15">
      <c r="A505" s="523"/>
      <c r="B505" s="524"/>
      <c r="C505" s="598"/>
      <c r="D505" s="529">
        <v>473</v>
      </c>
      <c r="E505" s="529"/>
      <c r="F505" s="530"/>
      <c r="G505" s="724" t="s">
        <v>75</v>
      </c>
      <c r="H505" s="666"/>
      <c r="I505" s="725"/>
      <c r="J505" s="690"/>
      <c r="K505" s="657">
        <f t="shared" si="14"/>
        <v>0</v>
      </c>
    </row>
    <row r="506" spans="1:11" s="311" customFormat="1" ht="38.25" customHeight="1">
      <c r="A506" s="523"/>
      <c r="B506" s="524"/>
      <c r="C506" s="532"/>
      <c r="D506" s="524"/>
      <c r="E506" s="524">
        <v>117</v>
      </c>
      <c r="F506" s="476">
        <v>411</v>
      </c>
      <c r="G506" s="667" t="s">
        <v>222</v>
      </c>
      <c r="H506" s="534">
        <v>7935000</v>
      </c>
      <c r="I506" s="534"/>
      <c r="J506" s="681"/>
      <c r="K506" s="657">
        <f t="shared" si="14"/>
        <v>7935000</v>
      </c>
    </row>
    <row r="507" spans="1:11" s="311" customFormat="1" ht="31.5" customHeight="1">
      <c r="A507" s="523"/>
      <c r="B507" s="524"/>
      <c r="C507" s="532"/>
      <c r="D507" s="524"/>
      <c r="E507" s="524">
        <v>118</v>
      </c>
      <c r="F507" s="476">
        <v>412</v>
      </c>
      <c r="G507" s="667" t="s">
        <v>287</v>
      </c>
      <c r="H507" s="534">
        <v>1200000</v>
      </c>
      <c r="I507" s="534"/>
      <c r="J507" s="681"/>
      <c r="K507" s="657">
        <f t="shared" si="14"/>
        <v>1200000</v>
      </c>
    </row>
    <row r="508" spans="1:11" s="311" customFormat="1" ht="17.25" customHeight="1">
      <c r="A508" s="523"/>
      <c r="B508" s="524"/>
      <c r="C508" s="532"/>
      <c r="D508" s="524"/>
      <c r="E508" s="524">
        <v>119</v>
      </c>
      <c r="F508" s="476">
        <v>413</v>
      </c>
      <c r="G508" s="667" t="s">
        <v>223</v>
      </c>
      <c r="H508" s="534">
        <v>0</v>
      </c>
      <c r="I508" s="534"/>
      <c r="J508" s="681"/>
      <c r="K508" s="657">
        <f t="shared" si="14"/>
        <v>0</v>
      </c>
    </row>
    <row r="509" spans="1:11" s="311" customFormat="1" ht="13.5" customHeight="1">
      <c r="A509" s="523"/>
      <c r="B509" s="524"/>
      <c r="C509" s="532"/>
      <c r="D509" s="524"/>
      <c r="E509" s="524">
        <v>120</v>
      </c>
      <c r="F509" s="476">
        <v>414</v>
      </c>
      <c r="G509" s="667" t="s">
        <v>290</v>
      </c>
      <c r="H509" s="534">
        <v>50000</v>
      </c>
      <c r="I509" s="534"/>
      <c r="J509" s="681"/>
      <c r="K509" s="657">
        <f t="shared" si="14"/>
        <v>50000</v>
      </c>
    </row>
    <row r="510" spans="1:11" s="311" customFormat="1" ht="13.5" customHeight="1">
      <c r="A510" s="523"/>
      <c r="B510" s="524"/>
      <c r="C510" s="532"/>
      <c r="D510" s="524"/>
      <c r="E510" s="524">
        <v>121</v>
      </c>
      <c r="F510" s="476">
        <v>415</v>
      </c>
      <c r="G510" s="667" t="s">
        <v>229</v>
      </c>
      <c r="H510" s="534">
        <v>160000</v>
      </c>
      <c r="I510" s="534"/>
      <c r="J510" s="681"/>
      <c r="K510" s="657">
        <f t="shared" si="14"/>
        <v>160000</v>
      </c>
    </row>
    <row r="511" spans="1:11" s="311" customFormat="1" ht="15">
      <c r="A511" s="523"/>
      <c r="B511" s="524"/>
      <c r="C511" s="532"/>
      <c r="D511" s="524"/>
      <c r="E511" s="524">
        <v>122</v>
      </c>
      <c r="F511" s="476">
        <v>421</v>
      </c>
      <c r="G511" s="667" t="s">
        <v>299</v>
      </c>
      <c r="H511" s="534">
        <v>250000</v>
      </c>
      <c r="I511" s="534"/>
      <c r="J511" s="681"/>
      <c r="K511" s="657">
        <f aca="true" t="shared" si="16" ref="K511:K568">SUM(H511:J511)</f>
        <v>250000</v>
      </c>
    </row>
    <row r="512" spans="1:11" s="311" customFormat="1" ht="15">
      <c r="A512" s="523"/>
      <c r="B512" s="524"/>
      <c r="C512" s="532"/>
      <c r="D512" s="524"/>
      <c r="E512" s="524">
        <v>123</v>
      </c>
      <c r="F512" s="476">
        <v>422</v>
      </c>
      <c r="G512" s="667" t="s">
        <v>300</v>
      </c>
      <c r="H512" s="534">
        <v>280000</v>
      </c>
      <c r="I512" s="534"/>
      <c r="J512" s="681"/>
      <c r="K512" s="657">
        <f t="shared" si="16"/>
        <v>280000</v>
      </c>
    </row>
    <row r="513" spans="1:11" s="311" customFormat="1" ht="15" customHeight="1">
      <c r="A513" s="523"/>
      <c r="B513" s="524"/>
      <c r="C513" s="532"/>
      <c r="D513" s="524"/>
      <c r="E513" s="524">
        <v>124</v>
      </c>
      <c r="F513" s="476">
        <v>423</v>
      </c>
      <c r="G513" s="667" t="s">
        <v>301</v>
      </c>
      <c r="H513" s="534">
        <v>3500000</v>
      </c>
      <c r="I513" s="534"/>
      <c r="J513" s="681"/>
      <c r="K513" s="657">
        <f t="shared" si="16"/>
        <v>3500000</v>
      </c>
    </row>
    <row r="514" spans="1:11" s="311" customFormat="1" ht="15">
      <c r="A514" s="523"/>
      <c r="B514" s="524"/>
      <c r="C514" s="532"/>
      <c r="D514" s="524"/>
      <c r="E514" s="524">
        <v>125</v>
      </c>
      <c r="F514" s="476">
        <v>424</v>
      </c>
      <c r="G514" s="667" t="s">
        <v>303</v>
      </c>
      <c r="H514" s="534">
        <v>300000</v>
      </c>
      <c r="I514" s="534"/>
      <c r="J514" s="681"/>
      <c r="K514" s="657">
        <f t="shared" si="16"/>
        <v>300000</v>
      </c>
    </row>
    <row r="515" spans="1:11" s="311" customFormat="1" ht="30">
      <c r="A515" s="523"/>
      <c r="B515" s="524"/>
      <c r="C515" s="532"/>
      <c r="D515" s="524"/>
      <c r="E515" s="524">
        <v>126</v>
      </c>
      <c r="F515" s="476">
        <v>425</v>
      </c>
      <c r="G515" s="667" t="s">
        <v>231</v>
      </c>
      <c r="H515" s="534">
        <v>100000</v>
      </c>
      <c r="I515" s="534"/>
      <c r="J515" s="681"/>
      <c r="K515" s="657">
        <f t="shared" si="16"/>
        <v>100000</v>
      </c>
    </row>
    <row r="516" spans="1:11" s="311" customFormat="1" ht="16.5" customHeight="1">
      <c r="A516" s="523"/>
      <c r="B516" s="524"/>
      <c r="C516" s="532"/>
      <c r="D516" s="524"/>
      <c r="E516" s="524">
        <v>127</v>
      </c>
      <c r="F516" s="476">
        <v>426</v>
      </c>
      <c r="G516" s="667" t="s">
        <v>307</v>
      </c>
      <c r="H516" s="534">
        <v>1600000</v>
      </c>
      <c r="I516" s="534"/>
      <c r="J516" s="681"/>
      <c r="K516" s="657">
        <f t="shared" si="16"/>
        <v>1600000</v>
      </c>
    </row>
    <row r="517" spans="1:11" s="311" customFormat="1" ht="13.5" customHeight="1">
      <c r="A517" s="523"/>
      <c r="B517" s="524"/>
      <c r="C517" s="532"/>
      <c r="D517" s="524"/>
      <c r="E517" s="524">
        <v>128</v>
      </c>
      <c r="F517" s="476">
        <v>482</v>
      </c>
      <c r="G517" s="667" t="s">
        <v>234</v>
      </c>
      <c r="H517" s="534">
        <v>100000</v>
      </c>
      <c r="I517" s="534"/>
      <c r="J517" s="681"/>
      <c r="K517" s="657">
        <f t="shared" si="16"/>
        <v>100000</v>
      </c>
    </row>
    <row r="518" spans="1:11" s="311" customFormat="1" ht="27" customHeight="1">
      <c r="A518" s="523"/>
      <c r="B518" s="524"/>
      <c r="C518" s="532"/>
      <c r="D518" s="524"/>
      <c r="E518" s="524">
        <v>129</v>
      </c>
      <c r="F518" s="476">
        <v>483</v>
      </c>
      <c r="G518" s="667" t="s">
        <v>235</v>
      </c>
      <c r="H518" s="534">
        <v>100000</v>
      </c>
      <c r="I518" s="534"/>
      <c r="J518" s="681"/>
      <c r="K518" s="657">
        <f t="shared" si="16"/>
        <v>100000</v>
      </c>
    </row>
    <row r="519" spans="1:11" s="311" customFormat="1" ht="27" customHeight="1">
      <c r="A519" s="523"/>
      <c r="B519" s="524"/>
      <c r="C519" s="532"/>
      <c r="D519" s="524"/>
      <c r="E519" s="524">
        <v>130</v>
      </c>
      <c r="F519" s="476">
        <v>512</v>
      </c>
      <c r="G519" s="667" t="s">
        <v>238</v>
      </c>
      <c r="H519" s="534">
        <v>150000</v>
      </c>
      <c r="I519" s="534"/>
      <c r="J519" s="681"/>
      <c r="K519" s="657">
        <f t="shared" si="16"/>
        <v>150000</v>
      </c>
    </row>
    <row r="520" spans="1:11" s="311" customFormat="1" ht="28.5">
      <c r="A520" s="523"/>
      <c r="B520" s="524"/>
      <c r="C520" s="532"/>
      <c r="D520" s="524"/>
      <c r="E520" s="535"/>
      <c r="F520" s="476"/>
      <c r="G520" s="689" t="s">
        <v>443</v>
      </c>
      <c r="H520" s="669"/>
      <c r="I520" s="717"/>
      <c r="J520" s="653"/>
      <c r="K520" s="657">
        <f t="shared" si="16"/>
        <v>0</v>
      </c>
    </row>
    <row r="521" spans="1:11" s="311" customFormat="1" ht="15">
      <c r="A521" s="523"/>
      <c r="B521" s="524"/>
      <c r="C521" s="532"/>
      <c r="D521" s="524"/>
      <c r="E521" s="524"/>
      <c r="F521" s="538" t="s">
        <v>87</v>
      </c>
      <c r="G521" s="670" t="s">
        <v>88</v>
      </c>
      <c r="H521" s="650"/>
      <c r="I521" s="690"/>
      <c r="J521" s="690"/>
      <c r="K521" s="657">
        <f t="shared" si="16"/>
        <v>0</v>
      </c>
    </row>
    <row r="522" spans="1:11" s="311" customFormat="1" ht="15">
      <c r="A522" s="523"/>
      <c r="B522" s="524"/>
      <c r="C522" s="532"/>
      <c r="D522" s="524"/>
      <c r="E522" s="524"/>
      <c r="F522" s="526"/>
      <c r="G522" s="671" t="s">
        <v>444</v>
      </c>
      <c r="H522" s="655">
        <f>SUM(H506:H519)</f>
        <v>15725000</v>
      </c>
      <c r="I522" s="655">
        <f>SUM(I506:I519)</f>
        <v>0</v>
      </c>
      <c r="J522" s="655">
        <f>SUM(J506:J519)</f>
        <v>0</v>
      </c>
      <c r="K522" s="657">
        <f t="shared" si="16"/>
        <v>15725000</v>
      </c>
    </row>
    <row r="523" spans="1:11" s="311" customFormat="1" ht="42.75" collapsed="1">
      <c r="A523" s="523"/>
      <c r="B523" s="524"/>
      <c r="C523" s="532"/>
      <c r="D523" s="524"/>
      <c r="E523" s="535"/>
      <c r="F523" s="476"/>
      <c r="G523" s="658" t="s">
        <v>332</v>
      </c>
      <c r="H523" s="654"/>
      <c r="I523" s="654"/>
      <c r="J523" s="654"/>
      <c r="K523" s="657">
        <f t="shared" si="16"/>
        <v>0</v>
      </c>
    </row>
    <row r="524" spans="1:11" s="311" customFormat="1" ht="15">
      <c r="A524" s="523"/>
      <c r="B524" s="524"/>
      <c r="C524" s="532"/>
      <c r="D524" s="524"/>
      <c r="E524" s="524"/>
      <c r="F524" s="538" t="s">
        <v>87</v>
      </c>
      <c r="G524" s="670" t="s">
        <v>88</v>
      </c>
      <c r="H524" s="650"/>
      <c r="I524" s="650"/>
      <c r="J524" s="650"/>
      <c r="K524" s="657">
        <f t="shared" si="16"/>
        <v>0</v>
      </c>
    </row>
    <row r="525" spans="1:11" s="311" customFormat="1" ht="28.5" collapsed="1">
      <c r="A525" s="523"/>
      <c r="B525" s="524"/>
      <c r="C525" s="532"/>
      <c r="D525" s="524"/>
      <c r="E525" s="524"/>
      <c r="F525" s="526"/>
      <c r="G525" s="671" t="s">
        <v>273</v>
      </c>
      <c r="H525" s="655">
        <f>H522</f>
        <v>15725000</v>
      </c>
      <c r="I525" s="655">
        <f>I522</f>
        <v>0</v>
      </c>
      <c r="J525" s="655">
        <f>J522</f>
        <v>0</v>
      </c>
      <c r="K525" s="657">
        <f t="shared" si="16"/>
        <v>15725000</v>
      </c>
    </row>
    <row r="526" spans="1:11" s="311" customFormat="1" ht="15">
      <c r="A526" s="523"/>
      <c r="B526" s="524"/>
      <c r="C526" s="532"/>
      <c r="D526" s="524"/>
      <c r="E526" s="524"/>
      <c r="F526" s="526"/>
      <c r="G526" s="673"/>
      <c r="H526" s="650"/>
      <c r="I526" s="690"/>
      <c r="J526" s="690"/>
      <c r="K526" s="657">
        <f t="shared" si="16"/>
        <v>0</v>
      </c>
    </row>
    <row r="527" spans="1:11" s="311" customFormat="1" ht="15">
      <c r="A527" s="523"/>
      <c r="B527" s="524"/>
      <c r="C527" s="569" t="s">
        <v>335</v>
      </c>
      <c r="D527" s="556"/>
      <c r="E527" s="556"/>
      <c r="F527" s="526"/>
      <c r="G527" s="662" t="s">
        <v>710</v>
      </c>
      <c r="H527" s="666"/>
      <c r="I527" s="725"/>
      <c r="J527" s="690"/>
      <c r="K527" s="657">
        <f t="shared" si="16"/>
        <v>0</v>
      </c>
    </row>
    <row r="528" spans="1:11" s="311" customFormat="1" ht="19.5" customHeight="1">
      <c r="A528" s="523"/>
      <c r="B528" s="524"/>
      <c r="C528" s="598"/>
      <c r="D528" s="529">
        <v>473</v>
      </c>
      <c r="E528" s="529"/>
      <c r="F528" s="530"/>
      <c r="G528" s="726" t="s">
        <v>75</v>
      </c>
      <c r="H528" s="527"/>
      <c r="I528" s="527"/>
      <c r="J528" s="649"/>
      <c r="K528" s="657">
        <f t="shared" si="16"/>
        <v>0</v>
      </c>
    </row>
    <row r="529" spans="1:11" s="311" customFormat="1" ht="15" customHeight="1">
      <c r="A529" s="523"/>
      <c r="B529" s="524"/>
      <c r="C529" s="532"/>
      <c r="D529" s="524"/>
      <c r="E529" s="524">
        <v>131</v>
      </c>
      <c r="F529" s="476">
        <v>422</v>
      </c>
      <c r="G529" s="667" t="s">
        <v>300</v>
      </c>
      <c r="H529" s="534">
        <v>70000</v>
      </c>
      <c r="I529" s="534"/>
      <c r="J529" s="681"/>
      <c r="K529" s="657">
        <f t="shared" si="16"/>
        <v>70000</v>
      </c>
    </row>
    <row r="530" spans="1:11" s="311" customFormat="1" ht="22.5" customHeight="1">
      <c r="A530" s="523"/>
      <c r="B530" s="524"/>
      <c r="C530" s="532"/>
      <c r="D530" s="524"/>
      <c r="E530" s="524">
        <v>132</v>
      </c>
      <c r="F530" s="476">
        <v>423</v>
      </c>
      <c r="G530" s="667" t="s">
        <v>301</v>
      </c>
      <c r="H530" s="534">
        <v>0</v>
      </c>
      <c r="I530" s="534"/>
      <c r="J530" s="681"/>
      <c r="K530" s="657">
        <f t="shared" si="16"/>
        <v>0</v>
      </c>
    </row>
    <row r="531" spans="1:11" s="311" customFormat="1" ht="21.75" customHeight="1">
      <c r="A531" s="523"/>
      <c r="B531" s="524"/>
      <c r="C531" s="532"/>
      <c r="D531" s="524"/>
      <c r="E531" s="524">
        <v>133</v>
      </c>
      <c r="F531" s="476">
        <v>424</v>
      </c>
      <c r="G531" s="667" t="s">
        <v>303</v>
      </c>
      <c r="H531" s="534">
        <v>0</v>
      </c>
      <c r="I531" s="534"/>
      <c r="J531" s="681"/>
      <c r="K531" s="657">
        <f t="shared" si="16"/>
        <v>0</v>
      </c>
    </row>
    <row r="532" spans="1:11" s="311" customFormat="1" ht="22.5" customHeight="1">
      <c r="A532" s="523"/>
      <c r="B532" s="524"/>
      <c r="C532" s="532"/>
      <c r="D532" s="524"/>
      <c r="E532" s="524">
        <v>134</v>
      </c>
      <c r="F532" s="476">
        <v>426</v>
      </c>
      <c r="G532" s="667" t="s">
        <v>307</v>
      </c>
      <c r="H532" s="534">
        <v>200000</v>
      </c>
      <c r="I532" s="534"/>
      <c r="J532" s="681"/>
      <c r="K532" s="657">
        <f t="shared" si="16"/>
        <v>200000</v>
      </c>
    </row>
    <row r="533" spans="1:11" s="311" customFormat="1" ht="28.5">
      <c r="A533" s="523"/>
      <c r="B533" s="524"/>
      <c r="C533" s="532"/>
      <c r="D533" s="524"/>
      <c r="E533" s="535"/>
      <c r="F533" s="476"/>
      <c r="G533" s="689" t="s">
        <v>443</v>
      </c>
      <c r="H533" s="669"/>
      <c r="I533" s="717"/>
      <c r="J533" s="653"/>
      <c r="K533" s="657">
        <f t="shared" si="16"/>
        <v>0</v>
      </c>
    </row>
    <row r="534" spans="1:11" s="311" customFormat="1" ht="15">
      <c r="A534" s="523"/>
      <c r="B534" s="524"/>
      <c r="C534" s="532"/>
      <c r="D534" s="524"/>
      <c r="E534" s="524"/>
      <c r="F534" s="538" t="s">
        <v>87</v>
      </c>
      <c r="G534" s="670" t="s">
        <v>88</v>
      </c>
      <c r="H534" s="650"/>
      <c r="I534" s="690"/>
      <c r="J534" s="690"/>
      <c r="K534" s="657">
        <f t="shared" si="16"/>
        <v>0</v>
      </c>
    </row>
    <row r="535" spans="1:11" s="311" customFormat="1" ht="15">
      <c r="A535" s="523"/>
      <c r="B535" s="524"/>
      <c r="C535" s="532"/>
      <c r="D535" s="524"/>
      <c r="E535" s="524"/>
      <c r="F535" s="526"/>
      <c r="G535" s="671" t="s">
        <v>444</v>
      </c>
      <c r="H535" s="655">
        <f>SUM(H529:H532)</f>
        <v>270000</v>
      </c>
      <c r="I535" s="655">
        <f>SUM(I529:I532)</f>
        <v>0</v>
      </c>
      <c r="J535" s="655">
        <f>SUM(J529:J532)</f>
        <v>0</v>
      </c>
      <c r="K535" s="657">
        <f t="shared" si="16"/>
        <v>270000</v>
      </c>
    </row>
    <row r="536" spans="1:11" s="311" customFormat="1" ht="42.75" collapsed="1">
      <c r="A536" s="523"/>
      <c r="B536" s="524"/>
      <c r="C536" s="532"/>
      <c r="D536" s="524"/>
      <c r="E536" s="535"/>
      <c r="F536" s="476"/>
      <c r="G536" s="658" t="s">
        <v>336</v>
      </c>
      <c r="H536" s="654"/>
      <c r="I536" s="654"/>
      <c r="J536" s="654"/>
      <c r="K536" s="657">
        <f t="shared" si="16"/>
        <v>0</v>
      </c>
    </row>
    <row r="537" spans="1:11" s="311" customFormat="1" ht="28.5" collapsed="1">
      <c r="A537" s="523"/>
      <c r="B537" s="524"/>
      <c r="C537" s="532"/>
      <c r="D537" s="524"/>
      <c r="E537" s="524"/>
      <c r="F537" s="526"/>
      <c r="G537" s="671" t="s">
        <v>445</v>
      </c>
      <c r="H537" s="655">
        <f>H535</f>
        <v>270000</v>
      </c>
      <c r="I537" s="655">
        <f>I535</f>
        <v>0</v>
      </c>
      <c r="J537" s="655">
        <f>J535</f>
        <v>0</v>
      </c>
      <c r="K537" s="657">
        <f t="shared" si="16"/>
        <v>270000</v>
      </c>
    </row>
    <row r="538" spans="1:11" s="311" customFormat="1" ht="15">
      <c r="A538" s="576"/>
      <c r="B538" s="577"/>
      <c r="C538" s="559"/>
      <c r="D538" s="560"/>
      <c r="E538" s="560"/>
      <c r="F538" s="526"/>
      <c r="G538" s="671" t="s">
        <v>772</v>
      </c>
      <c r="H538" s="655">
        <f>SUM(H537+H525)</f>
        <v>15995000</v>
      </c>
      <c r="I538" s="655">
        <f>SUM(I537+I525)</f>
        <v>0</v>
      </c>
      <c r="J538" s="655">
        <f>SUM(J537+J525)</f>
        <v>0</v>
      </c>
      <c r="K538" s="657">
        <f t="shared" si="16"/>
        <v>15995000</v>
      </c>
    </row>
    <row r="539" spans="1:11" s="311" customFormat="1" ht="26.25" customHeight="1">
      <c r="A539" s="576"/>
      <c r="B539" s="718">
        <v>4.04</v>
      </c>
      <c r="C539" s="727"/>
      <c r="D539" s="719"/>
      <c r="E539" s="720"/>
      <c r="F539" s="721"/>
      <c r="G539" s="722" t="s">
        <v>758</v>
      </c>
      <c r="H539" s="650"/>
      <c r="I539" s="690"/>
      <c r="J539" s="690"/>
      <c r="K539" s="657">
        <f t="shared" si="16"/>
        <v>0</v>
      </c>
    </row>
    <row r="540" spans="1:11" s="311" customFormat="1" ht="15.75">
      <c r="A540" s="523"/>
      <c r="B540" s="524"/>
      <c r="C540" s="728">
        <v>1201</v>
      </c>
      <c r="D540" s="524"/>
      <c r="E540" s="524"/>
      <c r="F540" s="526"/>
      <c r="G540" s="729" t="s">
        <v>879</v>
      </c>
      <c r="H540" s="666"/>
      <c r="I540" s="725"/>
      <c r="J540" s="690"/>
      <c r="K540" s="657">
        <f t="shared" si="16"/>
        <v>0</v>
      </c>
    </row>
    <row r="541" spans="1:11" s="311" customFormat="1" ht="57">
      <c r="A541" s="523"/>
      <c r="B541" s="524"/>
      <c r="C541" s="569" t="s">
        <v>196</v>
      </c>
      <c r="D541" s="556"/>
      <c r="E541" s="556"/>
      <c r="F541" s="526"/>
      <c r="G541" s="685" t="s">
        <v>262</v>
      </c>
      <c r="H541" s="527"/>
      <c r="I541" s="527"/>
      <c r="J541" s="649"/>
      <c r="K541" s="657">
        <f t="shared" si="16"/>
        <v>0</v>
      </c>
    </row>
    <row r="542" spans="1:11" s="311" customFormat="1" ht="30">
      <c r="A542" s="523"/>
      <c r="B542" s="524"/>
      <c r="C542" s="598"/>
      <c r="D542" s="529">
        <v>820</v>
      </c>
      <c r="E542" s="529"/>
      <c r="F542" s="530"/>
      <c r="G542" s="726" t="s">
        <v>251</v>
      </c>
      <c r="H542" s="527"/>
      <c r="I542" s="527"/>
      <c r="J542" s="649"/>
      <c r="K542" s="657">
        <f t="shared" si="16"/>
        <v>0</v>
      </c>
    </row>
    <row r="543" spans="1:11" s="311" customFormat="1" ht="30">
      <c r="A543" s="523"/>
      <c r="B543" s="524"/>
      <c r="C543" s="532"/>
      <c r="D543" s="529"/>
      <c r="E543" s="524">
        <v>135</v>
      </c>
      <c r="F543" s="476">
        <v>411</v>
      </c>
      <c r="G543" s="667" t="s">
        <v>222</v>
      </c>
      <c r="H543" s="534">
        <v>17226500</v>
      </c>
      <c r="I543" s="534"/>
      <c r="J543" s="681"/>
      <c r="K543" s="657">
        <f t="shared" si="16"/>
        <v>17226500</v>
      </c>
    </row>
    <row r="544" spans="1:11" s="311" customFormat="1" ht="30">
      <c r="A544" s="523"/>
      <c r="B544" s="524"/>
      <c r="C544" s="532"/>
      <c r="D544" s="529"/>
      <c r="E544" s="524">
        <v>136</v>
      </c>
      <c r="F544" s="476">
        <v>412</v>
      </c>
      <c r="G544" s="667" t="s">
        <v>287</v>
      </c>
      <c r="H544" s="534">
        <v>2619000</v>
      </c>
      <c r="I544" s="534"/>
      <c r="J544" s="681"/>
      <c r="K544" s="657">
        <f t="shared" si="16"/>
        <v>2619000</v>
      </c>
    </row>
    <row r="545" spans="1:11" s="311" customFormat="1" ht="15">
      <c r="A545" s="523"/>
      <c r="B545" s="524"/>
      <c r="C545" s="532"/>
      <c r="D545" s="529"/>
      <c r="E545" s="524">
        <v>137</v>
      </c>
      <c r="F545" s="476">
        <v>413</v>
      </c>
      <c r="G545" s="667" t="s">
        <v>223</v>
      </c>
      <c r="H545" s="534">
        <v>60000</v>
      </c>
      <c r="I545" s="534"/>
      <c r="J545" s="681"/>
      <c r="K545" s="657">
        <f t="shared" si="16"/>
        <v>60000</v>
      </c>
    </row>
    <row r="546" spans="1:11" s="311" customFormat="1" ht="16.5" customHeight="1">
      <c r="A546" s="523"/>
      <c r="B546" s="524"/>
      <c r="C546" s="532"/>
      <c r="D546" s="529"/>
      <c r="E546" s="524">
        <v>138</v>
      </c>
      <c r="F546" s="476">
        <v>414</v>
      </c>
      <c r="G546" s="667" t="s">
        <v>290</v>
      </c>
      <c r="H546" s="534">
        <v>341000</v>
      </c>
      <c r="I546" s="534"/>
      <c r="J546" s="681"/>
      <c r="K546" s="657">
        <f t="shared" si="16"/>
        <v>341000</v>
      </c>
    </row>
    <row r="547" spans="1:11" s="311" customFormat="1" ht="34.5" customHeight="1">
      <c r="A547" s="523"/>
      <c r="B547" s="524"/>
      <c r="C547" s="532"/>
      <c r="D547" s="529"/>
      <c r="E547" s="524">
        <v>139</v>
      </c>
      <c r="F547" s="476">
        <v>416</v>
      </c>
      <c r="G547" s="667" t="s">
        <v>230</v>
      </c>
      <c r="H547" s="534">
        <v>1141000</v>
      </c>
      <c r="I547" s="534"/>
      <c r="J547" s="681"/>
      <c r="K547" s="657">
        <f t="shared" si="16"/>
        <v>1141000</v>
      </c>
    </row>
    <row r="548" spans="1:11" s="311" customFormat="1" ht="35.25" customHeight="1">
      <c r="A548" s="523"/>
      <c r="B548" s="524"/>
      <c r="C548" s="532"/>
      <c r="D548" s="529"/>
      <c r="E548" s="524">
        <v>140</v>
      </c>
      <c r="F548" s="476">
        <v>421</v>
      </c>
      <c r="G548" s="667" t="s">
        <v>299</v>
      </c>
      <c r="H548" s="534">
        <v>3500000</v>
      </c>
      <c r="I548" s="534"/>
      <c r="J548" s="681"/>
      <c r="K548" s="657">
        <f t="shared" si="16"/>
        <v>3500000</v>
      </c>
    </row>
    <row r="549" spans="1:11" s="311" customFormat="1" ht="15">
      <c r="A549" s="523"/>
      <c r="B549" s="524"/>
      <c r="C549" s="532"/>
      <c r="D549" s="529"/>
      <c r="E549" s="524">
        <v>141</v>
      </c>
      <c r="F549" s="476">
        <v>422</v>
      </c>
      <c r="G549" s="667" t="s">
        <v>300</v>
      </c>
      <c r="H549" s="534">
        <v>140000</v>
      </c>
      <c r="I549" s="534"/>
      <c r="J549" s="681"/>
      <c r="K549" s="657">
        <f t="shared" si="16"/>
        <v>140000</v>
      </c>
    </row>
    <row r="550" spans="1:11" s="311" customFormat="1" ht="27" customHeight="1">
      <c r="A550" s="523"/>
      <c r="B550" s="524"/>
      <c r="C550" s="532"/>
      <c r="D550" s="529"/>
      <c r="E550" s="524">
        <v>142</v>
      </c>
      <c r="F550" s="476">
        <v>423</v>
      </c>
      <c r="G550" s="667" t="s">
        <v>301</v>
      </c>
      <c r="H550" s="534">
        <v>1700000</v>
      </c>
      <c r="I550" s="534"/>
      <c r="J550" s="681"/>
      <c r="K550" s="657">
        <f t="shared" si="16"/>
        <v>1700000</v>
      </c>
    </row>
    <row r="551" spans="1:11" s="311" customFormat="1" ht="36" customHeight="1">
      <c r="A551" s="523"/>
      <c r="B551" s="524"/>
      <c r="C551" s="532"/>
      <c r="D551" s="529"/>
      <c r="E551" s="524">
        <v>143</v>
      </c>
      <c r="F551" s="476">
        <v>424</v>
      </c>
      <c r="G551" s="667" t="s">
        <v>303</v>
      </c>
      <c r="H551" s="534">
        <v>9500000</v>
      </c>
      <c r="I551" s="534"/>
      <c r="J551" s="681"/>
      <c r="K551" s="657">
        <f t="shared" si="16"/>
        <v>9500000</v>
      </c>
    </row>
    <row r="552" spans="1:11" s="311" customFormat="1" ht="30">
      <c r="A552" s="523"/>
      <c r="B552" s="524"/>
      <c r="C552" s="532"/>
      <c r="D552" s="529"/>
      <c r="E552" s="524">
        <v>144</v>
      </c>
      <c r="F552" s="476">
        <v>425</v>
      </c>
      <c r="G552" s="667" t="s">
        <v>231</v>
      </c>
      <c r="H552" s="534">
        <v>200000</v>
      </c>
      <c r="I552" s="534"/>
      <c r="J552" s="681"/>
      <c r="K552" s="657">
        <f t="shared" si="16"/>
        <v>200000</v>
      </c>
    </row>
    <row r="553" spans="1:11" s="311" customFormat="1" ht="15">
      <c r="A553" s="523"/>
      <c r="B553" s="524"/>
      <c r="C553" s="532"/>
      <c r="D553" s="529"/>
      <c r="E553" s="524">
        <v>145</v>
      </c>
      <c r="F553" s="476">
        <v>426</v>
      </c>
      <c r="G553" s="667" t="s">
        <v>307</v>
      </c>
      <c r="H553" s="534">
        <v>700000</v>
      </c>
      <c r="I553" s="534"/>
      <c r="J553" s="681"/>
      <c r="K553" s="657">
        <f t="shared" si="16"/>
        <v>700000</v>
      </c>
    </row>
    <row r="554" spans="1:11" s="311" customFormat="1" ht="30">
      <c r="A554" s="523"/>
      <c r="B554" s="524"/>
      <c r="C554" s="532"/>
      <c r="D554" s="529"/>
      <c r="E554" s="524">
        <v>146</v>
      </c>
      <c r="F554" s="476">
        <v>482</v>
      </c>
      <c r="G554" s="667" t="s">
        <v>234</v>
      </c>
      <c r="H554" s="534">
        <v>40000</v>
      </c>
      <c r="I554" s="534"/>
      <c r="J554" s="681"/>
      <c r="K554" s="657">
        <f t="shared" si="16"/>
        <v>40000</v>
      </c>
    </row>
    <row r="555" spans="1:11" s="311" customFormat="1" ht="30">
      <c r="A555" s="523"/>
      <c r="B555" s="524"/>
      <c r="C555" s="532"/>
      <c r="D555" s="529"/>
      <c r="E555" s="524">
        <v>147</v>
      </c>
      <c r="F555" s="476">
        <v>483</v>
      </c>
      <c r="G555" s="667" t="s">
        <v>235</v>
      </c>
      <c r="H555" s="534">
        <v>200000</v>
      </c>
      <c r="I555" s="534"/>
      <c r="J555" s="681"/>
      <c r="K555" s="657">
        <f t="shared" si="16"/>
        <v>200000</v>
      </c>
    </row>
    <row r="556" spans="1:11" s="311" customFormat="1" ht="30">
      <c r="A556" s="523"/>
      <c r="B556" s="524"/>
      <c r="C556" s="532"/>
      <c r="D556" s="529"/>
      <c r="E556" s="524">
        <v>148</v>
      </c>
      <c r="F556" s="476">
        <v>523</v>
      </c>
      <c r="G556" s="667" t="s">
        <v>147</v>
      </c>
      <c r="H556" s="534">
        <v>0</v>
      </c>
      <c r="I556" s="534"/>
      <c r="J556" s="681"/>
      <c r="K556" s="657">
        <f t="shared" si="16"/>
        <v>0</v>
      </c>
    </row>
    <row r="557" spans="1:11" s="311" customFormat="1" ht="15">
      <c r="A557" s="523"/>
      <c r="B557" s="524"/>
      <c r="C557" s="532"/>
      <c r="D557" s="529"/>
      <c r="E557" s="524">
        <v>149</v>
      </c>
      <c r="F557" s="476">
        <v>512</v>
      </c>
      <c r="G557" s="667" t="s">
        <v>238</v>
      </c>
      <c r="H557" s="534">
        <v>0</v>
      </c>
      <c r="I557" s="534"/>
      <c r="J557" s="681"/>
      <c r="K557" s="657">
        <f t="shared" si="16"/>
        <v>0</v>
      </c>
    </row>
    <row r="558" spans="1:11" s="311" customFormat="1" ht="85.5" customHeight="1">
      <c r="A558" s="523"/>
      <c r="B558" s="524"/>
      <c r="C558" s="532"/>
      <c r="D558" s="524"/>
      <c r="E558" s="535"/>
      <c r="F558" s="476"/>
      <c r="G558" s="689" t="s">
        <v>365</v>
      </c>
      <c r="H558" s="669"/>
      <c r="I558" s="717"/>
      <c r="J558" s="653"/>
      <c r="K558" s="657">
        <f t="shared" si="16"/>
        <v>0</v>
      </c>
    </row>
    <row r="559" spans="1:11" s="311" customFormat="1" ht="15">
      <c r="A559" s="523"/>
      <c r="B559" s="524"/>
      <c r="C559" s="532"/>
      <c r="D559" s="524"/>
      <c r="E559" s="524"/>
      <c r="F559" s="538" t="s">
        <v>87</v>
      </c>
      <c r="G559" s="670" t="s">
        <v>88</v>
      </c>
      <c r="H559" s="650"/>
      <c r="I559" s="690"/>
      <c r="J559" s="690"/>
      <c r="K559" s="657">
        <f t="shared" si="16"/>
        <v>0</v>
      </c>
    </row>
    <row r="560" spans="1:11" s="311" customFormat="1" ht="85.5" customHeight="1">
      <c r="A560" s="523"/>
      <c r="B560" s="524"/>
      <c r="C560" s="532"/>
      <c r="D560" s="529">
        <v>820</v>
      </c>
      <c r="E560" s="524"/>
      <c r="F560" s="526"/>
      <c r="G560" s="671" t="s">
        <v>366</v>
      </c>
      <c r="H560" s="655">
        <f>SUM(H543:H557)</f>
        <v>37367500</v>
      </c>
      <c r="I560" s="655">
        <f>SUM(I543:I557)</f>
        <v>0</v>
      </c>
      <c r="J560" s="655">
        <f>SUM(J543:J557)</f>
        <v>0</v>
      </c>
      <c r="K560" s="730">
        <f t="shared" si="16"/>
        <v>37367500</v>
      </c>
    </row>
    <row r="561" spans="1:11" s="311" customFormat="1" ht="106.5" customHeight="1" collapsed="1">
      <c r="A561" s="523"/>
      <c r="B561" s="524"/>
      <c r="C561" s="532"/>
      <c r="D561" s="524"/>
      <c r="E561" s="535"/>
      <c r="F561" s="476"/>
      <c r="G561" s="658" t="s">
        <v>253</v>
      </c>
      <c r="H561" s="654"/>
      <c r="I561" s="653"/>
      <c r="J561" s="653"/>
      <c r="K561" s="730">
        <f t="shared" si="16"/>
        <v>0</v>
      </c>
    </row>
    <row r="562" spans="1:11" s="311" customFormat="1" ht="15">
      <c r="A562" s="523"/>
      <c r="B562" s="524"/>
      <c r="C562" s="532"/>
      <c r="D562" s="524"/>
      <c r="E562" s="524"/>
      <c r="F562" s="538" t="s">
        <v>87</v>
      </c>
      <c r="G562" s="670" t="s">
        <v>88</v>
      </c>
      <c r="H562" s="655"/>
      <c r="I562" s="703"/>
      <c r="J562" s="703"/>
      <c r="K562" s="730">
        <f t="shared" si="16"/>
        <v>0</v>
      </c>
    </row>
    <row r="563" spans="1:11" s="311" customFormat="1" ht="28.5" collapsed="1">
      <c r="A563" s="523"/>
      <c r="B563" s="524"/>
      <c r="C563" s="532"/>
      <c r="D563" s="524"/>
      <c r="E563" s="524"/>
      <c r="F563" s="526"/>
      <c r="G563" s="671" t="s">
        <v>252</v>
      </c>
      <c r="H563" s="655">
        <f>H560</f>
        <v>37367500</v>
      </c>
      <c r="I563" s="655">
        <f>I560</f>
        <v>0</v>
      </c>
      <c r="J563" s="655">
        <f>J560</f>
        <v>0</v>
      </c>
      <c r="K563" s="730">
        <f t="shared" si="16"/>
        <v>37367500</v>
      </c>
    </row>
    <row r="564" spans="1:11" s="311" customFormat="1" ht="62.25" customHeight="1">
      <c r="A564" s="523"/>
      <c r="B564" s="524"/>
      <c r="C564" s="569" t="s">
        <v>197</v>
      </c>
      <c r="D564" s="556"/>
      <c r="E564" s="556"/>
      <c r="F564" s="526"/>
      <c r="G564" s="671" t="s">
        <v>681</v>
      </c>
      <c r="H564" s="666"/>
      <c r="I564" s="690"/>
      <c r="J564" s="690"/>
      <c r="K564" s="660">
        <f t="shared" si="16"/>
        <v>0</v>
      </c>
    </row>
    <row r="565" spans="1:11" s="311" customFormat="1" ht="15">
      <c r="A565" s="523"/>
      <c r="B565" s="524"/>
      <c r="C565" s="532"/>
      <c r="D565" s="524">
        <v>820</v>
      </c>
      <c r="E565" s="524">
        <v>150</v>
      </c>
      <c r="F565" s="476">
        <v>423</v>
      </c>
      <c r="G565" s="672" t="s">
        <v>301</v>
      </c>
      <c r="H565" s="651">
        <v>500000</v>
      </c>
      <c r="I565" s="651"/>
      <c r="J565" s="688"/>
      <c r="K565" s="731">
        <f t="shared" si="16"/>
        <v>500000</v>
      </c>
    </row>
    <row r="566" spans="1:11" s="311" customFormat="1" ht="15">
      <c r="A566" s="523"/>
      <c r="B566" s="524"/>
      <c r="C566" s="532"/>
      <c r="D566" s="524"/>
      <c r="E566" s="524">
        <v>151</v>
      </c>
      <c r="F566" s="476">
        <v>424</v>
      </c>
      <c r="G566" s="672" t="s">
        <v>303</v>
      </c>
      <c r="H566" s="651">
        <v>200000</v>
      </c>
      <c r="I566" s="651"/>
      <c r="J566" s="688"/>
      <c r="K566" s="676">
        <f t="shared" si="16"/>
        <v>200000</v>
      </c>
    </row>
    <row r="567" spans="1:11" s="311" customFormat="1" ht="28.5">
      <c r="A567" s="523"/>
      <c r="B567" s="524"/>
      <c r="C567" s="532"/>
      <c r="D567" s="524"/>
      <c r="E567" s="535"/>
      <c r="F567" s="476"/>
      <c r="G567" s="689" t="s">
        <v>365</v>
      </c>
      <c r="H567" s="654"/>
      <c r="I567" s="653"/>
      <c r="J567" s="653"/>
      <c r="K567" s="657">
        <f t="shared" si="16"/>
        <v>0</v>
      </c>
    </row>
    <row r="568" spans="1:11" s="311" customFormat="1" ht="15">
      <c r="A568" s="523"/>
      <c r="B568" s="524"/>
      <c r="C568" s="532"/>
      <c r="D568" s="524"/>
      <c r="E568" s="524"/>
      <c r="F568" s="538" t="s">
        <v>87</v>
      </c>
      <c r="G568" s="670" t="s">
        <v>88</v>
      </c>
      <c r="H568" s="650"/>
      <c r="I568" s="690"/>
      <c r="J568" s="690"/>
      <c r="K568" s="657">
        <f t="shared" si="16"/>
        <v>0</v>
      </c>
    </row>
    <row r="569" spans="1:11" s="311" customFormat="1" ht="15">
      <c r="A569" s="523"/>
      <c r="B569" s="524"/>
      <c r="C569" s="532"/>
      <c r="D569" s="529">
        <v>820</v>
      </c>
      <c r="E569" s="524"/>
      <c r="F569" s="526"/>
      <c r="G569" s="671" t="s">
        <v>366</v>
      </c>
      <c r="H569" s="655">
        <f>SUM(H565:H566)</f>
        <v>700000</v>
      </c>
      <c r="I569" s="655">
        <f>SUM(I565:I566)</f>
        <v>0</v>
      </c>
      <c r="J569" s="655">
        <f>SUM(J565:J566)</f>
        <v>0</v>
      </c>
      <c r="K569" s="655">
        <f>SUM(K565:K566)</f>
        <v>700000</v>
      </c>
    </row>
    <row r="570" spans="1:11" s="311" customFormat="1" ht="42.75" collapsed="1">
      <c r="A570" s="523"/>
      <c r="B570" s="524"/>
      <c r="C570" s="532"/>
      <c r="D570" s="524"/>
      <c r="E570" s="535"/>
      <c r="F570" s="476"/>
      <c r="G570" s="658" t="s">
        <v>254</v>
      </c>
      <c r="H570" s="654"/>
      <c r="I570" s="653"/>
      <c r="J570" s="653"/>
      <c r="K570" s="657">
        <f aca="true" t="shared" si="17" ref="K570:K629">SUM(H570:J570)</f>
        <v>0</v>
      </c>
    </row>
    <row r="571" spans="1:11" s="311" customFormat="1" ht="15">
      <c r="A571" s="523"/>
      <c r="B571" s="524"/>
      <c r="C571" s="532"/>
      <c r="D571" s="524"/>
      <c r="E571" s="524"/>
      <c r="F571" s="538" t="s">
        <v>87</v>
      </c>
      <c r="G571" s="670" t="s">
        <v>88</v>
      </c>
      <c r="H571" s="655"/>
      <c r="I571" s="703"/>
      <c r="J571" s="703"/>
      <c r="K571" s="657">
        <f t="shared" si="17"/>
        <v>0</v>
      </c>
    </row>
    <row r="572" spans="1:11" s="311" customFormat="1" ht="28.5" collapsed="1">
      <c r="A572" s="523"/>
      <c r="B572" s="524"/>
      <c r="C572" s="532"/>
      <c r="D572" s="524"/>
      <c r="E572" s="524"/>
      <c r="F572" s="526"/>
      <c r="G572" s="671" t="s">
        <v>255</v>
      </c>
      <c r="H572" s="655">
        <f>H569</f>
        <v>700000</v>
      </c>
      <c r="I572" s="655">
        <f>I569</f>
        <v>0</v>
      </c>
      <c r="J572" s="655">
        <f>J569</f>
        <v>0</v>
      </c>
      <c r="K572" s="655">
        <f>K569</f>
        <v>700000</v>
      </c>
    </row>
    <row r="573" spans="1:11" s="311" customFormat="1" ht="15">
      <c r="A573" s="576"/>
      <c r="B573" s="577"/>
      <c r="C573" s="559"/>
      <c r="D573" s="560"/>
      <c r="E573" s="560"/>
      <c r="F573" s="538"/>
      <c r="G573" s="670"/>
      <c r="H573" s="655"/>
      <c r="I573" s="703"/>
      <c r="J573" s="703"/>
      <c r="K573" s="657">
        <f t="shared" si="17"/>
        <v>0</v>
      </c>
    </row>
    <row r="574" spans="1:11" s="311" customFormat="1" ht="28.5">
      <c r="A574" s="576"/>
      <c r="B574" s="577"/>
      <c r="C574" s="559"/>
      <c r="D574" s="560"/>
      <c r="E574" s="560"/>
      <c r="F574" s="476"/>
      <c r="G574" s="658" t="s">
        <v>99</v>
      </c>
      <c r="H574" s="654"/>
      <c r="I574" s="653"/>
      <c r="J574" s="653"/>
      <c r="K574" s="657">
        <f t="shared" si="17"/>
        <v>0</v>
      </c>
    </row>
    <row r="575" spans="1:11" s="311" customFormat="1" ht="15">
      <c r="A575" s="576"/>
      <c r="B575" s="577"/>
      <c r="C575" s="559"/>
      <c r="D575" s="560"/>
      <c r="E575" s="560"/>
      <c r="F575" s="538" t="s">
        <v>87</v>
      </c>
      <c r="G575" s="670" t="s">
        <v>88</v>
      </c>
      <c r="H575" s="655"/>
      <c r="I575" s="703"/>
      <c r="J575" s="703"/>
      <c r="K575" s="657">
        <f t="shared" si="17"/>
        <v>0</v>
      </c>
    </row>
    <row r="576" spans="1:11" s="311" customFormat="1" ht="28.5">
      <c r="A576" s="576"/>
      <c r="B576" s="577"/>
      <c r="C576" s="559"/>
      <c r="D576" s="560"/>
      <c r="E576" s="560"/>
      <c r="F576" s="526"/>
      <c r="G576" s="671" t="s">
        <v>773</v>
      </c>
      <c r="H576" s="655">
        <f>SUM(H572+H563)</f>
        <v>38067500</v>
      </c>
      <c r="I576" s="655">
        <f>SUM(I572+I563)</f>
        <v>0</v>
      </c>
      <c r="J576" s="655">
        <f>SUM(J572+J563)</f>
        <v>0</v>
      </c>
      <c r="K576" s="655">
        <f>SUM(K572+K563)</f>
        <v>38067500</v>
      </c>
    </row>
    <row r="577" spans="1:11" s="311" customFormat="1" ht="15">
      <c r="A577" s="576"/>
      <c r="B577" s="718">
        <v>4.05</v>
      </c>
      <c r="C577" s="727"/>
      <c r="D577" s="719"/>
      <c r="E577" s="720"/>
      <c r="F577" s="721"/>
      <c r="G577" s="722" t="s">
        <v>407</v>
      </c>
      <c r="H577" s="650"/>
      <c r="I577" s="690"/>
      <c r="J577" s="690"/>
      <c r="K577" s="657">
        <f t="shared" si="17"/>
        <v>0</v>
      </c>
    </row>
    <row r="578" spans="1:11" s="311" customFormat="1" ht="27.75" customHeight="1">
      <c r="A578" s="523"/>
      <c r="B578" s="524"/>
      <c r="C578" s="525" t="s">
        <v>468</v>
      </c>
      <c r="D578" s="524"/>
      <c r="E578" s="524"/>
      <c r="F578" s="526"/>
      <c r="G578" s="723" t="s">
        <v>341</v>
      </c>
      <c r="H578" s="650"/>
      <c r="I578" s="690"/>
      <c r="J578" s="690"/>
      <c r="K578" s="657">
        <f t="shared" si="17"/>
        <v>0</v>
      </c>
    </row>
    <row r="579" spans="1:11" s="311" customFormat="1" ht="36.75" customHeight="1">
      <c r="A579" s="523"/>
      <c r="B579" s="524"/>
      <c r="C579" s="525" t="s">
        <v>196</v>
      </c>
      <c r="D579" s="809"/>
      <c r="E579" s="524"/>
      <c r="F579" s="526"/>
      <c r="G579" s="723" t="s">
        <v>417</v>
      </c>
      <c r="H579" s="666"/>
      <c r="I579" s="690"/>
      <c r="J579" s="690"/>
      <c r="K579" s="657">
        <f t="shared" si="17"/>
        <v>0</v>
      </c>
    </row>
    <row r="580" spans="1:11" s="311" customFormat="1" ht="15">
      <c r="A580" s="523"/>
      <c r="B580" s="524"/>
      <c r="C580" s="525"/>
      <c r="D580" s="529">
        <v>820</v>
      </c>
      <c r="E580" s="529"/>
      <c r="F580" s="530"/>
      <c r="G580" s="732" t="s">
        <v>83</v>
      </c>
      <c r="H580" s="733"/>
      <c r="I580" s="734"/>
      <c r="J580" s="690"/>
      <c r="K580" s="657">
        <f t="shared" si="17"/>
        <v>0</v>
      </c>
    </row>
    <row r="581" spans="1:11" s="311" customFormat="1" ht="30">
      <c r="A581" s="523"/>
      <c r="B581" s="524"/>
      <c r="C581" s="532"/>
      <c r="D581" s="524">
        <v>820</v>
      </c>
      <c r="E581" s="524">
        <v>152</v>
      </c>
      <c r="F581" s="476">
        <v>411</v>
      </c>
      <c r="G581" s="667" t="s">
        <v>222</v>
      </c>
      <c r="H581" s="735">
        <v>6200000</v>
      </c>
      <c r="I581" s="736"/>
      <c r="J581" s="681"/>
      <c r="K581" s="657">
        <f t="shared" si="17"/>
        <v>6200000</v>
      </c>
    </row>
    <row r="582" spans="1:11" s="311" customFormat="1" ht="30">
      <c r="A582" s="523"/>
      <c r="B582" s="524"/>
      <c r="C582" s="532"/>
      <c r="D582" s="524">
        <v>820</v>
      </c>
      <c r="E582" s="524">
        <v>153</v>
      </c>
      <c r="F582" s="476">
        <v>412</v>
      </c>
      <c r="G582" s="667" t="s">
        <v>287</v>
      </c>
      <c r="H582" s="735">
        <v>929000</v>
      </c>
      <c r="I582" s="651"/>
      <c r="J582" s="688"/>
      <c r="K582" s="657">
        <f t="shared" si="17"/>
        <v>929000</v>
      </c>
    </row>
    <row r="583" spans="1:11" s="311" customFormat="1" ht="17.25" customHeight="1">
      <c r="A583" s="523"/>
      <c r="B583" s="524"/>
      <c r="C583" s="532"/>
      <c r="D583" s="524">
        <v>820</v>
      </c>
      <c r="E583" s="524">
        <v>154</v>
      </c>
      <c r="F583" s="476">
        <v>413</v>
      </c>
      <c r="G583" s="667" t="s">
        <v>223</v>
      </c>
      <c r="H583" s="737">
        <v>0</v>
      </c>
      <c r="I583" s="738"/>
      <c r="J583" s="688"/>
      <c r="K583" s="657">
        <f t="shared" si="17"/>
        <v>0</v>
      </c>
    </row>
    <row r="584" spans="1:11" s="311" customFormat="1" ht="30">
      <c r="A584" s="523"/>
      <c r="B584" s="524"/>
      <c r="C584" s="532"/>
      <c r="D584" s="524">
        <v>820</v>
      </c>
      <c r="E584" s="524">
        <v>155</v>
      </c>
      <c r="F584" s="476">
        <v>414</v>
      </c>
      <c r="G584" s="667" t="s">
        <v>290</v>
      </c>
      <c r="H584" s="737">
        <v>0</v>
      </c>
      <c r="I584" s="738"/>
      <c r="J584" s="688"/>
      <c r="K584" s="657">
        <f t="shared" si="17"/>
        <v>0</v>
      </c>
    </row>
    <row r="585" spans="1:11" s="311" customFormat="1" ht="30">
      <c r="A585" s="523"/>
      <c r="B585" s="524"/>
      <c r="C585" s="532"/>
      <c r="D585" s="524">
        <v>820</v>
      </c>
      <c r="E585" s="524">
        <v>156</v>
      </c>
      <c r="F585" s="476">
        <v>415</v>
      </c>
      <c r="G585" s="667" t="s">
        <v>229</v>
      </c>
      <c r="H585" s="739">
        <v>120000</v>
      </c>
      <c r="I585" s="738"/>
      <c r="J585" s="688"/>
      <c r="K585" s="657">
        <f t="shared" si="17"/>
        <v>120000</v>
      </c>
    </row>
    <row r="586" spans="1:11" s="311" customFormat="1" ht="30">
      <c r="A586" s="523"/>
      <c r="B586" s="524"/>
      <c r="C586" s="532"/>
      <c r="D586" s="524">
        <v>820</v>
      </c>
      <c r="E586" s="524">
        <v>157</v>
      </c>
      <c r="F586" s="476">
        <v>416</v>
      </c>
      <c r="G586" s="667" t="s">
        <v>230</v>
      </c>
      <c r="H586" s="737">
        <v>0</v>
      </c>
      <c r="I586" s="738"/>
      <c r="J586" s="688"/>
      <c r="K586" s="657">
        <f t="shared" si="17"/>
        <v>0</v>
      </c>
    </row>
    <row r="587" spans="1:11" s="311" customFormat="1" ht="15">
      <c r="A587" s="523"/>
      <c r="B587" s="524"/>
      <c r="C587" s="532"/>
      <c r="D587" s="524">
        <v>820</v>
      </c>
      <c r="E587" s="524">
        <v>158</v>
      </c>
      <c r="F587" s="476">
        <v>421</v>
      </c>
      <c r="G587" s="667" t="s">
        <v>299</v>
      </c>
      <c r="H587" s="737">
        <v>1000000</v>
      </c>
      <c r="I587" s="738"/>
      <c r="J587" s="688"/>
      <c r="K587" s="657">
        <f>SUM(H587:J587)</f>
        <v>1000000</v>
      </c>
    </row>
    <row r="588" spans="1:11" s="311" customFormat="1" ht="15">
      <c r="A588" s="523"/>
      <c r="B588" s="524"/>
      <c r="C588" s="532"/>
      <c r="D588" s="524">
        <v>820</v>
      </c>
      <c r="E588" s="524">
        <v>159</v>
      </c>
      <c r="F588" s="476">
        <v>422</v>
      </c>
      <c r="G588" s="667" t="s">
        <v>300</v>
      </c>
      <c r="H588" s="737">
        <v>40000</v>
      </c>
      <c r="I588" s="738"/>
      <c r="J588" s="688"/>
      <c r="K588" s="657">
        <f t="shared" si="17"/>
        <v>40000</v>
      </c>
    </row>
    <row r="589" spans="1:11" s="311" customFormat="1" ht="15">
      <c r="A589" s="523"/>
      <c r="B589" s="524"/>
      <c r="C589" s="532"/>
      <c r="D589" s="524">
        <v>820</v>
      </c>
      <c r="E589" s="524">
        <v>160</v>
      </c>
      <c r="F589" s="476">
        <v>423</v>
      </c>
      <c r="G589" s="667" t="s">
        <v>301</v>
      </c>
      <c r="H589" s="737">
        <v>1800000</v>
      </c>
      <c r="I589" s="738"/>
      <c r="J589" s="688"/>
      <c r="K589" s="657">
        <f t="shared" si="17"/>
        <v>1800000</v>
      </c>
    </row>
    <row r="590" spans="1:11" s="311" customFormat="1" ht="15">
      <c r="A590" s="523"/>
      <c r="B590" s="524"/>
      <c r="C590" s="532"/>
      <c r="D590" s="524">
        <v>820</v>
      </c>
      <c r="E590" s="524">
        <v>161</v>
      </c>
      <c r="F590" s="476">
        <v>424</v>
      </c>
      <c r="G590" s="667" t="s">
        <v>303</v>
      </c>
      <c r="H590" s="737">
        <v>100000</v>
      </c>
      <c r="I590" s="738"/>
      <c r="J590" s="688"/>
      <c r="K590" s="657">
        <f t="shared" si="17"/>
        <v>100000</v>
      </c>
    </row>
    <row r="591" spans="1:11" s="311" customFormat="1" ht="30">
      <c r="A591" s="523"/>
      <c r="B591" s="524"/>
      <c r="C591" s="532"/>
      <c r="D591" s="524">
        <v>820</v>
      </c>
      <c r="E591" s="524">
        <v>162</v>
      </c>
      <c r="F591" s="476">
        <v>425</v>
      </c>
      <c r="G591" s="667" t="s">
        <v>231</v>
      </c>
      <c r="H591" s="737">
        <v>100000</v>
      </c>
      <c r="I591" s="738"/>
      <c r="J591" s="688"/>
      <c r="K591" s="657">
        <f t="shared" si="17"/>
        <v>100000</v>
      </c>
    </row>
    <row r="592" spans="1:11" s="311" customFormat="1" ht="15">
      <c r="A592" s="523"/>
      <c r="B592" s="524"/>
      <c r="C592" s="532"/>
      <c r="D592" s="524">
        <v>820</v>
      </c>
      <c r="E592" s="524">
        <v>163</v>
      </c>
      <c r="F592" s="476">
        <v>426</v>
      </c>
      <c r="G592" s="667" t="s">
        <v>307</v>
      </c>
      <c r="H592" s="737">
        <v>400000</v>
      </c>
      <c r="I592" s="740"/>
      <c r="J592" s="688"/>
      <c r="K592" s="657">
        <f t="shared" si="17"/>
        <v>400000</v>
      </c>
    </row>
    <row r="593" spans="1:11" s="311" customFormat="1" ht="15">
      <c r="A593" s="523"/>
      <c r="B593" s="524"/>
      <c r="C593" s="532"/>
      <c r="D593" s="524">
        <v>820</v>
      </c>
      <c r="E593" s="524">
        <v>164</v>
      </c>
      <c r="F593" s="476">
        <v>482</v>
      </c>
      <c r="G593" s="667" t="s">
        <v>760</v>
      </c>
      <c r="H593" s="737">
        <v>50000</v>
      </c>
      <c r="I593" s="736"/>
      <c r="J593" s="681"/>
      <c r="K593" s="657">
        <f t="shared" si="17"/>
        <v>50000</v>
      </c>
    </row>
    <row r="594" spans="1:11" s="311" customFormat="1" ht="30">
      <c r="A594" s="523"/>
      <c r="B594" s="524"/>
      <c r="C594" s="532"/>
      <c r="D594" s="524">
        <v>820</v>
      </c>
      <c r="E594" s="524">
        <v>165</v>
      </c>
      <c r="F594" s="476">
        <v>483</v>
      </c>
      <c r="G594" s="667" t="s">
        <v>235</v>
      </c>
      <c r="H594" s="741">
        <v>2000000</v>
      </c>
      <c r="I594" s="742"/>
      <c r="J594" s="688"/>
      <c r="K594" s="657">
        <f t="shared" si="17"/>
        <v>2000000</v>
      </c>
    </row>
    <row r="595" spans="1:11" s="311" customFormat="1" ht="15">
      <c r="A595" s="523"/>
      <c r="B595" s="524"/>
      <c r="C595" s="532"/>
      <c r="D595" s="524">
        <v>820</v>
      </c>
      <c r="E595" s="524">
        <v>166</v>
      </c>
      <c r="F595" s="476">
        <v>512</v>
      </c>
      <c r="G595" s="667" t="s">
        <v>238</v>
      </c>
      <c r="H595" s="737">
        <v>350000</v>
      </c>
      <c r="I595" s="738"/>
      <c r="J595" s="688"/>
      <c r="K595" s="657">
        <f t="shared" si="17"/>
        <v>350000</v>
      </c>
    </row>
    <row r="596" spans="1:11" s="311" customFormat="1" ht="15">
      <c r="A596" s="523"/>
      <c r="B596" s="524"/>
      <c r="C596" s="532"/>
      <c r="D596" s="524">
        <v>820</v>
      </c>
      <c r="E596" s="524">
        <v>167</v>
      </c>
      <c r="F596" s="476">
        <v>515</v>
      </c>
      <c r="G596" s="672" t="s">
        <v>142</v>
      </c>
      <c r="H596" s="743">
        <v>100000</v>
      </c>
      <c r="I596" s="744">
        <v>100000</v>
      </c>
      <c r="J596" s="688"/>
      <c r="K596" s="657">
        <f t="shared" si="17"/>
        <v>200000</v>
      </c>
    </row>
    <row r="597" spans="1:11" s="311" customFormat="1" ht="28.5">
      <c r="A597" s="523"/>
      <c r="B597" s="524"/>
      <c r="C597" s="532"/>
      <c r="D597" s="524"/>
      <c r="E597" s="535"/>
      <c r="F597" s="476"/>
      <c r="G597" s="689" t="s">
        <v>365</v>
      </c>
      <c r="H597" s="745"/>
      <c r="I597" s="653"/>
      <c r="J597" s="653"/>
      <c r="K597" s="657">
        <f t="shared" si="17"/>
        <v>0</v>
      </c>
    </row>
    <row r="598" spans="1:11" s="311" customFormat="1" ht="15">
      <c r="A598" s="523"/>
      <c r="B598" s="524"/>
      <c r="C598" s="532"/>
      <c r="D598" s="524"/>
      <c r="E598" s="524"/>
      <c r="F598" s="538" t="s">
        <v>87</v>
      </c>
      <c r="G598" s="670" t="s">
        <v>88</v>
      </c>
      <c r="H598" s="650"/>
      <c r="I598" s="690"/>
      <c r="J598" s="690"/>
      <c r="K598" s="657">
        <f t="shared" si="17"/>
        <v>0</v>
      </c>
    </row>
    <row r="599" spans="1:11" s="311" customFormat="1" ht="15">
      <c r="A599" s="523"/>
      <c r="B599" s="524"/>
      <c r="C599" s="532"/>
      <c r="D599" s="529">
        <v>820</v>
      </c>
      <c r="E599" s="524"/>
      <c r="F599" s="526"/>
      <c r="G599" s="671" t="s">
        <v>366</v>
      </c>
      <c r="H599" s="655">
        <f>SUM(H581:H596)</f>
        <v>13189000</v>
      </c>
      <c r="I599" s="655">
        <f>SUM(I581:I596)</f>
        <v>100000</v>
      </c>
      <c r="J599" s="655">
        <f>SUM(J581:J596)</f>
        <v>0</v>
      </c>
      <c r="K599" s="655">
        <f>SUM(K581:K596)</f>
        <v>13289000</v>
      </c>
    </row>
    <row r="600" spans="1:11" s="311" customFormat="1" ht="43.5" collapsed="1">
      <c r="A600" s="523"/>
      <c r="B600" s="524"/>
      <c r="C600" s="532"/>
      <c r="D600" s="524"/>
      <c r="E600" s="535"/>
      <c r="F600" s="476"/>
      <c r="G600" s="658" t="s">
        <v>367</v>
      </c>
      <c r="H600" s="654"/>
      <c r="I600" s="653"/>
      <c r="J600" s="653"/>
      <c r="K600" s="657">
        <f t="shared" si="17"/>
        <v>0</v>
      </c>
    </row>
    <row r="601" spans="1:11" s="311" customFormat="1" ht="15">
      <c r="A601" s="523"/>
      <c r="B601" s="524"/>
      <c r="C601" s="532"/>
      <c r="D601" s="524"/>
      <c r="E601" s="524"/>
      <c r="F601" s="538" t="s">
        <v>87</v>
      </c>
      <c r="G601" s="670" t="s">
        <v>88</v>
      </c>
      <c r="H601" s="655"/>
      <c r="I601" s="703"/>
      <c r="J601" s="703"/>
      <c r="K601" s="657">
        <f t="shared" si="17"/>
        <v>0</v>
      </c>
    </row>
    <row r="602" spans="1:11" s="311" customFormat="1" ht="29.25" collapsed="1">
      <c r="A602" s="523"/>
      <c r="B602" s="524"/>
      <c r="C602" s="532"/>
      <c r="D602" s="524"/>
      <c r="E602" s="524"/>
      <c r="F602" s="526"/>
      <c r="G602" s="671" t="s">
        <v>368</v>
      </c>
      <c r="H602" s="655">
        <f>(H599)</f>
        <v>13189000</v>
      </c>
      <c r="I602" s="655">
        <f>(I599)</f>
        <v>100000</v>
      </c>
      <c r="J602" s="703">
        <f>(J599)</f>
        <v>0</v>
      </c>
      <c r="K602" s="746">
        <f>(K599)</f>
        <v>13289000</v>
      </c>
    </row>
    <row r="603" spans="1:11" s="311" customFormat="1" ht="43.5">
      <c r="A603" s="523"/>
      <c r="B603" s="524"/>
      <c r="C603" s="525" t="s">
        <v>197</v>
      </c>
      <c r="D603" s="524"/>
      <c r="E603" s="524"/>
      <c r="F603" s="526"/>
      <c r="G603" s="747" t="s">
        <v>274</v>
      </c>
      <c r="H603" s="666"/>
      <c r="I603" s="690"/>
      <c r="J603" s="690"/>
      <c r="K603" s="657">
        <f t="shared" si="17"/>
        <v>0</v>
      </c>
    </row>
    <row r="604" spans="1:11" s="311" customFormat="1" ht="15">
      <c r="A604" s="523"/>
      <c r="B604" s="524"/>
      <c r="C604" s="525"/>
      <c r="D604" s="529">
        <v>820</v>
      </c>
      <c r="E604" s="529"/>
      <c r="F604" s="530"/>
      <c r="G604" s="748" t="s">
        <v>83</v>
      </c>
      <c r="H604" s="749"/>
      <c r="I604" s="734"/>
      <c r="J604" s="725"/>
      <c r="K604" s="657">
        <f t="shared" si="17"/>
        <v>0</v>
      </c>
    </row>
    <row r="605" spans="1:11" s="311" customFormat="1" ht="15">
      <c r="A605" s="523"/>
      <c r="B605" s="524"/>
      <c r="C605" s="525"/>
      <c r="D605" s="529"/>
      <c r="E605" s="750">
        <v>168</v>
      </c>
      <c r="F605" s="526">
        <v>422</v>
      </c>
      <c r="G605" s="751" t="s">
        <v>300</v>
      </c>
      <c r="H605" s="534">
        <v>30000</v>
      </c>
      <c r="I605" s="736"/>
      <c r="J605" s="752"/>
      <c r="K605" s="657">
        <f t="shared" si="17"/>
        <v>30000</v>
      </c>
    </row>
    <row r="606" spans="1:11" s="311" customFormat="1" ht="15">
      <c r="A606" s="523"/>
      <c r="B606" s="524"/>
      <c r="C606" s="525"/>
      <c r="D606" s="529"/>
      <c r="E606" s="750">
        <v>169</v>
      </c>
      <c r="F606" s="476">
        <v>423</v>
      </c>
      <c r="G606" s="753" t="s">
        <v>301</v>
      </c>
      <c r="H606" s="754">
        <v>50000</v>
      </c>
      <c r="I606" s="754"/>
      <c r="J606" s="755"/>
      <c r="K606" s="657">
        <f t="shared" si="17"/>
        <v>50000</v>
      </c>
    </row>
    <row r="607" spans="1:11" s="311" customFormat="1" ht="15">
      <c r="A607" s="523"/>
      <c r="B607" s="524"/>
      <c r="C607" s="525"/>
      <c r="D607" s="529"/>
      <c r="E607" s="750">
        <v>170</v>
      </c>
      <c r="F607" s="476">
        <v>424</v>
      </c>
      <c r="G607" s="756" t="s">
        <v>303</v>
      </c>
      <c r="H607" s="651">
        <v>100000</v>
      </c>
      <c r="I607" s="757"/>
      <c r="J607" s="758"/>
      <c r="K607" s="657">
        <f t="shared" si="17"/>
        <v>100000</v>
      </c>
    </row>
    <row r="608" spans="1:11" s="311" customFormat="1" ht="15">
      <c r="A608" s="523"/>
      <c r="B608" s="524"/>
      <c r="C608" s="525"/>
      <c r="D608" s="529"/>
      <c r="E608" s="750">
        <v>171</v>
      </c>
      <c r="F608" s="476">
        <v>426</v>
      </c>
      <c r="G608" s="667" t="s">
        <v>307</v>
      </c>
      <c r="H608" s="534">
        <v>100000</v>
      </c>
      <c r="I608" s="651"/>
      <c r="J608" s="688"/>
      <c r="K608" s="657">
        <f t="shared" si="17"/>
        <v>100000</v>
      </c>
    </row>
    <row r="609" spans="1:11" s="311" customFormat="1" ht="29.25">
      <c r="A609" s="523"/>
      <c r="B609" s="524"/>
      <c r="C609" s="525"/>
      <c r="D609" s="524"/>
      <c r="E609" s="556"/>
      <c r="F609" s="476"/>
      <c r="G609" s="689" t="s">
        <v>365</v>
      </c>
      <c r="H609" s="669"/>
      <c r="I609" s="700"/>
      <c r="J609" s="653"/>
      <c r="K609" s="657">
        <f t="shared" si="17"/>
        <v>0</v>
      </c>
    </row>
    <row r="610" spans="1:11" s="311" customFormat="1" ht="15">
      <c r="A610" s="523"/>
      <c r="B610" s="524"/>
      <c r="C610" s="525"/>
      <c r="D610" s="524"/>
      <c r="E610" s="556"/>
      <c r="F610" s="538" t="s">
        <v>87</v>
      </c>
      <c r="G610" s="670" t="s">
        <v>88</v>
      </c>
      <c r="H610" s="650"/>
      <c r="I610" s="690"/>
      <c r="J610" s="690"/>
      <c r="K610" s="657">
        <f t="shared" si="17"/>
        <v>0</v>
      </c>
    </row>
    <row r="611" spans="1:11" s="311" customFormat="1" ht="30">
      <c r="A611" s="523"/>
      <c r="B611" s="524"/>
      <c r="C611" s="525"/>
      <c r="D611" s="524"/>
      <c r="E611" s="556"/>
      <c r="F611" s="538" t="s">
        <v>89</v>
      </c>
      <c r="G611" s="670" t="s">
        <v>90</v>
      </c>
      <c r="H611" s="650"/>
      <c r="I611" s="690"/>
      <c r="J611" s="690"/>
      <c r="K611" s="657">
        <f t="shared" si="17"/>
        <v>0</v>
      </c>
    </row>
    <row r="612" spans="1:11" s="311" customFormat="1" ht="15">
      <c r="A612" s="523"/>
      <c r="B612" s="524"/>
      <c r="C612" s="525"/>
      <c r="D612" s="529">
        <v>820</v>
      </c>
      <c r="E612" s="556"/>
      <c r="F612" s="526"/>
      <c r="G612" s="671" t="s">
        <v>366</v>
      </c>
      <c r="H612" s="655">
        <f>SUM(H605:H608)</f>
        <v>280000</v>
      </c>
      <c r="I612" s="655">
        <f>SUM(I605:I608)</f>
        <v>0</v>
      </c>
      <c r="J612" s="703">
        <f>SUM(J605:J608)</f>
        <v>0</v>
      </c>
      <c r="K612" s="746">
        <f>SUM(K605:K608)</f>
        <v>280000</v>
      </c>
    </row>
    <row r="613" spans="1:11" s="311" customFormat="1" ht="29.25">
      <c r="A613" s="523"/>
      <c r="B613" s="524"/>
      <c r="C613" s="525"/>
      <c r="D613" s="524"/>
      <c r="E613" s="556"/>
      <c r="F613" s="476"/>
      <c r="G613" s="671" t="s">
        <v>413</v>
      </c>
      <c r="H613" s="655">
        <f>(H612)</f>
        <v>280000</v>
      </c>
      <c r="I613" s="655">
        <f>(I612)</f>
        <v>0</v>
      </c>
      <c r="J613" s="703">
        <f>(J612)</f>
        <v>0</v>
      </c>
      <c r="K613" s="746">
        <f>(K612)</f>
        <v>280000</v>
      </c>
    </row>
    <row r="614" spans="1:11" s="311" customFormat="1" ht="29.25">
      <c r="A614" s="523"/>
      <c r="B614" s="524"/>
      <c r="C614" s="532"/>
      <c r="D614" s="524"/>
      <c r="E614" s="524"/>
      <c r="F614" s="526"/>
      <c r="G614" s="671" t="s">
        <v>774</v>
      </c>
      <c r="H614" s="655">
        <f>SUM(H613+H602)</f>
        <v>13469000</v>
      </c>
      <c r="I614" s="655">
        <f>SUM(I613+I602)</f>
        <v>100000</v>
      </c>
      <c r="J614" s="703">
        <f>SUM(J613+J602)</f>
        <v>0</v>
      </c>
      <c r="K614" s="746">
        <f>SUM(K613+K602)</f>
        <v>13569000</v>
      </c>
    </row>
    <row r="615" spans="1:11" s="311" customFormat="1" ht="47.25" customHeight="1">
      <c r="A615" s="546"/>
      <c r="B615" s="547">
        <v>4.07</v>
      </c>
      <c r="C615" s="532"/>
      <c r="D615" s="524"/>
      <c r="E615" s="524"/>
      <c r="F615" s="526"/>
      <c r="G615" s="711" t="s">
        <v>408</v>
      </c>
      <c r="H615" s="650"/>
      <c r="I615" s="690"/>
      <c r="J615" s="690"/>
      <c r="K615" s="657">
        <f t="shared" si="17"/>
        <v>0</v>
      </c>
    </row>
    <row r="616" spans="1:11" s="311" customFormat="1" ht="39.75" customHeight="1">
      <c r="A616" s="523"/>
      <c r="B616" s="524"/>
      <c r="C616" s="525" t="s">
        <v>404</v>
      </c>
      <c r="D616" s="524"/>
      <c r="E616" s="524"/>
      <c r="F616" s="526"/>
      <c r="G616" s="723" t="s">
        <v>344</v>
      </c>
      <c r="H616" s="650"/>
      <c r="I616" s="690"/>
      <c r="J616" s="690"/>
      <c r="K616" s="657">
        <f t="shared" si="17"/>
        <v>0</v>
      </c>
    </row>
    <row r="617" spans="1:11" s="311" customFormat="1" ht="43.5">
      <c r="A617" s="523"/>
      <c r="B617" s="524"/>
      <c r="C617" s="525" t="s">
        <v>862</v>
      </c>
      <c r="D617" s="809"/>
      <c r="E617" s="524"/>
      <c r="F617" s="526"/>
      <c r="G617" s="723" t="s">
        <v>261</v>
      </c>
      <c r="H617" s="650"/>
      <c r="I617" s="690"/>
      <c r="J617" s="690"/>
      <c r="K617" s="657">
        <f t="shared" si="17"/>
        <v>0</v>
      </c>
    </row>
    <row r="618" spans="1:11" s="311" customFormat="1" ht="15">
      <c r="A618" s="523"/>
      <c r="B618" s="524"/>
      <c r="C618" s="525"/>
      <c r="D618" s="529">
        <v>911</v>
      </c>
      <c r="E618" s="529"/>
      <c r="F618" s="530"/>
      <c r="G618" s="759" t="s">
        <v>84</v>
      </c>
      <c r="H618" s="666"/>
      <c r="I618" s="734"/>
      <c r="J618" s="690"/>
      <c r="K618" s="657">
        <f t="shared" si="17"/>
        <v>0</v>
      </c>
    </row>
    <row r="619" spans="1:11" s="311" customFormat="1" ht="30">
      <c r="A619" s="523"/>
      <c r="B619" s="524"/>
      <c r="C619" s="532"/>
      <c r="D619" s="524"/>
      <c r="E619" s="524">
        <v>172</v>
      </c>
      <c r="F619" s="476">
        <v>411</v>
      </c>
      <c r="G619" s="667" t="s">
        <v>222</v>
      </c>
      <c r="H619" s="534">
        <v>37112000</v>
      </c>
      <c r="I619" s="534"/>
      <c r="J619" s="681"/>
      <c r="K619" s="657">
        <f t="shared" si="17"/>
        <v>37112000</v>
      </c>
    </row>
    <row r="620" spans="1:11" s="311" customFormat="1" ht="30">
      <c r="A620" s="523"/>
      <c r="B620" s="524"/>
      <c r="C620" s="532"/>
      <c r="D620" s="524"/>
      <c r="E620" s="524">
        <v>173</v>
      </c>
      <c r="F620" s="476">
        <v>412</v>
      </c>
      <c r="G620" s="667" t="s">
        <v>287</v>
      </c>
      <c r="H620" s="534">
        <v>11880000</v>
      </c>
      <c r="I620" s="534"/>
      <c r="J620" s="681"/>
      <c r="K620" s="657">
        <f t="shared" si="17"/>
        <v>11880000</v>
      </c>
    </row>
    <row r="621" spans="1:11" s="311" customFormat="1" ht="15">
      <c r="A621" s="523"/>
      <c r="B621" s="524"/>
      <c r="C621" s="532"/>
      <c r="D621" s="524"/>
      <c r="E621" s="524">
        <v>174</v>
      </c>
      <c r="F621" s="476">
        <v>413</v>
      </c>
      <c r="G621" s="667" t="s">
        <v>223</v>
      </c>
      <c r="H621" s="534">
        <v>200000</v>
      </c>
      <c r="I621" s="534"/>
      <c r="J621" s="681"/>
      <c r="K621" s="657">
        <f t="shared" si="17"/>
        <v>200000</v>
      </c>
    </row>
    <row r="622" spans="1:11" s="311" customFormat="1" ht="15">
      <c r="A622" s="523"/>
      <c r="B622" s="524"/>
      <c r="C622" s="532"/>
      <c r="D622" s="524"/>
      <c r="E622" s="524">
        <v>175</v>
      </c>
      <c r="F622" s="476">
        <v>414</v>
      </c>
      <c r="G622" s="667" t="s">
        <v>290</v>
      </c>
      <c r="H622" s="534">
        <v>400000</v>
      </c>
      <c r="I622" s="534"/>
      <c r="J622" s="681"/>
      <c r="K622" s="657">
        <f t="shared" si="17"/>
        <v>400000</v>
      </c>
    </row>
    <row r="623" spans="1:11" s="311" customFormat="1" ht="30">
      <c r="A623" s="523"/>
      <c r="B623" s="524"/>
      <c r="C623" s="532"/>
      <c r="D623" s="524"/>
      <c r="E623" s="524">
        <v>176</v>
      </c>
      <c r="F623" s="476">
        <v>416</v>
      </c>
      <c r="G623" s="667" t="s">
        <v>230</v>
      </c>
      <c r="H623" s="534">
        <v>385000</v>
      </c>
      <c r="I623" s="534"/>
      <c r="J623" s="681"/>
      <c r="K623" s="657">
        <f t="shared" si="17"/>
        <v>385000</v>
      </c>
    </row>
    <row r="624" spans="1:11" s="311" customFormat="1" ht="15">
      <c r="A624" s="523"/>
      <c r="B624" s="524"/>
      <c r="C624" s="532"/>
      <c r="D624" s="524"/>
      <c r="E624" s="524">
        <v>177</v>
      </c>
      <c r="F624" s="476">
        <v>421</v>
      </c>
      <c r="G624" s="667" t="s">
        <v>299</v>
      </c>
      <c r="H624" s="534">
        <v>4900000</v>
      </c>
      <c r="I624" s="534"/>
      <c r="J624" s="681"/>
      <c r="K624" s="657">
        <f t="shared" si="17"/>
        <v>4900000</v>
      </c>
    </row>
    <row r="625" spans="1:11" s="311" customFormat="1" ht="15">
      <c r="A625" s="523"/>
      <c r="B625" s="524"/>
      <c r="C625" s="532"/>
      <c r="D625" s="524"/>
      <c r="E625" s="524">
        <v>178</v>
      </c>
      <c r="F625" s="476">
        <v>422</v>
      </c>
      <c r="G625" s="667" t="s">
        <v>300</v>
      </c>
      <c r="H625" s="534">
        <v>50000</v>
      </c>
      <c r="I625" s="534"/>
      <c r="J625" s="681"/>
      <c r="K625" s="657">
        <f t="shared" si="17"/>
        <v>50000</v>
      </c>
    </row>
    <row r="626" spans="1:11" s="311" customFormat="1" ht="15">
      <c r="A626" s="523"/>
      <c r="B626" s="524"/>
      <c r="C626" s="532"/>
      <c r="D626" s="524"/>
      <c r="E626" s="524">
        <v>179</v>
      </c>
      <c r="F626" s="476">
        <v>423</v>
      </c>
      <c r="G626" s="667" t="s">
        <v>301</v>
      </c>
      <c r="H626" s="534">
        <v>9000000</v>
      </c>
      <c r="I626" s="534"/>
      <c r="J626" s="681"/>
      <c r="K626" s="657">
        <f t="shared" si="17"/>
        <v>9000000</v>
      </c>
    </row>
    <row r="627" spans="1:11" s="311" customFormat="1" ht="15">
      <c r="A627" s="523"/>
      <c r="B627" s="524"/>
      <c r="C627" s="532"/>
      <c r="D627" s="524"/>
      <c r="E627" s="524">
        <v>180</v>
      </c>
      <c r="F627" s="476">
        <v>424</v>
      </c>
      <c r="G627" s="667" t="s">
        <v>303</v>
      </c>
      <c r="H627" s="534">
        <v>650000</v>
      </c>
      <c r="I627" s="534"/>
      <c r="J627" s="681"/>
      <c r="K627" s="657">
        <f t="shared" si="17"/>
        <v>650000</v>
      </c>
    </row>
    <row r="628" spans="1:11" s="311" customFormat="1" ht="15">
      <c r="A628" s="523"/>
      <c r="B628" s="524"/>
      <c r="C628" s="532"/>
      <c r="D628" s="524"/>
      <c r="E628" s="524">
        <v>181</v>
      </c>
      <c r="F628" s="476">
        <v>425</v>
      </c>
      <c r="G628" s="667" t="s">
        <v>231</v>
      </c>
      <c r="H628" s="534">
        <v>200000</v>
      </c>
      <c r="I628" s="534"/>
      <c r="J628" s="681"/>
      <c r="K628" s="657">
        <f t="shared" si="17"/>
        <v>200000</v>
      </c>
    </row>
    <row r="629" spans="1:11" s="311" customFormat="1" ht="15">
      <c r="A629" s="523"/>
      <c r="B629" s="524"/>
      <c r="C629" s="532"/>
      <c r="D629" s="529"/>
      <c r="E629" s="524">
        <v>182</v>
      </c>
      <c r="F629" s="476">
        <v>426</v>
      </c>
      <c r="G629" s="667" t="s">
        <v>307</v>
      </c>
      <c r="H629" s="534">
        <v>4200000</v>
      </c>
      <c r="I629" s="534"/>
      <c r="J629" s="681"/>
      <c r="K629" s="657">
        <f t="shared" si="17"/>
        <v>4200000</v>
      </c>
    </row>
    <row r="630" spans="1:11" s="311" customFormat="1" ht="30">
      <c r="A630" s="523"/>
      <c r="B630" s="524"/>
      <c r="C630" s="532"/>
      <c r="D630" s="529"/>
      <c r="E630" s="524">
        <v>183</v>
      </c>
      <c r="F630" s="476">
        <v>482</v>
      </c>
      <c r="G630" s="667" t="s">
        <v>234</v>
      </c>
      <c r="H630" s="534">
        <v>100000</v>
      </c>
      <c r="I630" s="534"/>
      <c r="J630" s="681"/>
      <c r="K630" s="657">
        <f aca="true" t="shared" si="18" ref="K630:K668">SUM(H630:J630)</f>
        <v>100000</v>
      </c>
    </row>
    <row r="631" spans="1:11" s="311" customFormat="1" ht="30">
      <c r="A631" s="523"/>
      <c r="B631" s="524"/>
      <c r="C631" s="532"/>
      <c r="D631" s="529"/>
      <c r="E631" s="524">
        <v>184</v>
      </c>
      <c r="F631" s="476">
        <v>483</v>
      </c>
      <c r="G631" s="667" t="s">
        <v>235</v>
      </c>
      <c r="H631" s="534">
        <v>50000</v>
      </c>
      <c r="I631" s="534"/>
      <c r="J631" s="681"/>
      <c r="K631" s="657">
        <f t="shared" si="18"/>
        <v>50000</v>
      </c>
    </row>
    <row r="632" spans="1:11" s="311" customFormat="1" ht="15">
      <c r="A632" s="523"/>
      <c r="B632" s="524"/>
      <c r="C632" s="532"/>
      <c r="D632" s="529"/>
      <c r="E632" s="524">
        <v>185</v>
      </c>
      <c r="F632" s="476">
        <v>512</v>
      </c>
      <c r="G632" s="667" t="s">
        <v>238</v>
      </c>
      <c r="H632" s="534">
        <v>200000</v>
      </c>
      <c r="I632" s="534"/>
      <c r="J632" s="681"/>
      <c r="K632" s="657">
        <f t="shared" si="18"/>
        <v>200000</v>
      </c>
    </row>
    <row r="633" spans="1:11" s="311" customFormat="1" ht="29.25">
      <c r="A633" s="523"/>
      <c r="B633" s="524"/>
      <c r="C633" s="532"/>
      <c r="D633" s="524"/>
      <c r="E633" s="535"/>
      <c r="F633" s="476"/>
      <c r="G633" s="689" t="s">
        <v>370</v>
      </c>
      <c r="H633" s="760"/>
      <c r="I633" s="761"/>
      <c r="J633" s="762"/>
      <c r="K633" s="657">
        <f t="shared" si="18"/>
        <v>0</v>
      </c>
    </row>
    <row r="634" spans="1:11" s="311" customFormat="1" ht="15">
      <c r="A634" s="523"/>
      <c r="B634" s="524"/>
      <c r="C634" s="532"/>
      <c r="D634" s="524"/>
      <c r="E634" s="524"/>
      <c r="F634" s="526"/>
      <c r="G634" s="671" t="s">
        <v>371</v>
      </c>
      <c r="H634" s="655">
        <f>SUM(H619:H632)</f>
        <v>69327000</v>
      </c>
      <c r="I634" s="703">
        <f>SUM(I619:I632)</f>
        <v>0</v>
      </c>
      <c r="J634" s="703">
        <f>SUM(J619:J632)</f>
        <v>0</v>
      </c>
      <c r="K634" s="657">
        <f t="shared" si="18"/>
        <v>69327000</v>
      </c>
    </row>
    <row r="635" spans="1:11" s="311" customFormat="1" ht="43.5" collapsed="1">
      <c r="A635" s="523"/>
      <c r="B635" s="524"/>
      <c r="C635" s="532"/>
      <c r="D635" s="524"/>
      <c r="E635" s="535"/>
      <c r="F635" s="476"/>
      <c r="G635" s="658" t="s">
        <v>378</v>
      </c>
      <c r="H635" s="654"/>
      <c r="I635" s="653"/>
      <c r="J635" s="653"/>
      <c r="K635" s="657">
        <f t="shared" si="18"/>
        <v>0</v>
      </c>
    </row>
    <row r="636" spans="1:11" s="311" customFormat="1" ht="29.25" collapsed="1">
      <c r="A636" s="523"/>
      <c r="B636" s="524"/>
      <c r="C636" s="532"/>
      <c r="D636" s="524"/>
      <c r="E636" s="524"/>
      <c r="F636" s="526"/>
      <c r="G636" s="671" t="s">
        <v>379</v>
      </c>
      <c r="H636" s="655">
        <f>SUM(H634)</f>
        <v>69327000</v>
      </c>
      <c r="I636" s="655">
        <f>SUM(I634)</f>
        <v>0</v>
      </c>
      <c r="J636" s="655">
        <f>SUM(J634)</f>
        <v>0</v>
      </c>
      <c r="K636" s="657">
        <f t="shared" si="18"/>
        <v>69327000</v>
      </c>
    </row>
    <row r="637" spans="1:11" s="311" customFormat="1" ht="29.25">
      <c r="A637" s="523"/>
      <c r="B637" s="524"/>
      <c r="C637" s="532"/>
      <c r="D637" s="524"/>
      <c r="E637" s="535"/>
      <c r="F637" s="476"/>
      <c r="G637" s="658" t="s">
        <v>342</v>
      </c>
      <c r="H637" s="654"/>
      <c r="I637" s="653"/>
      <c r="J637" s="653"/>
      <c r="K637" s="657">
        <f t="shared" si="18"/>
        <v>0</v>
      </c>
    </row>
    <row r="638" spans="1:11" s="311" customFormat="1" ht="15">
      <c r="A638" s="523"/>
      <c r="B638" s="524"/>
      <c r="C638" s="532"/>
      <c r="D638" s="524"/>
      <c r="E638" s="524"/>
      <c r="F638" s="526"/>
      <c r="G638" s="671" t="s">
        <v>343</v>
      </c>
      <c r="H638" s="655"/>
      <c r="I638" s="703"/>
      <c r="J638" s="703"/>
      <c r="K638" s="657">
        <f t="shared" si="18"/>
        <v>0</v>
      </c>
    </row>
    <row r="639" spans="1:11" s="311" customFormat="1" ht="15">
      <c r="A639" s="523"/>
      <c r="B639" s="524"/>
      <c r="C639" s="532"/>
      <c r="D639" s="524"/>
      <c r="E639" s="524"/>
      <c r="F639" s="526"/>
      <c r="G639" s="673"/>
      <c r="H639" s="655"/>
      <c r="I639" s="703"/>
      <c r="J639" s="703"/>
      <c r="K639" s="657">
        <f t="shared" si="18"/>
        <v>0</v>
      </c>
    </row>
    <row r="640" spans="1:11" s="311" customFormat="1" ht="29.25">
      <c r="A640" s="523"/>
      <c r="B640" s="524"/>
      <c r="C640" s="532"/>
      <c r="D640" s="524"/>
      <c r="E640" s="535"/>
      <c r="F640" s="476"/>
      <c r="G640" s="658" t="s">
        <v>415</v>
      </c>
      <c r="H640" s="654"/>
      <c r="I640" s="653"/>
      <c r="J640" s="653"/>
      <c r="K640" s="657">
        <f t="shared" si="18"/>
        <v>0</v>
      </c>
    </row>
    <row r="641" spans="1:11" s="311" customFormat="1" ht="15">
      <c r="A641" s="523"/>
      <c r="B641" s="524"/>
      <c r="C641" s="532"/>
      <c r="D641" s="524"/>
      <c r="E641" s="524"/>
      <c r="F641" s="538" t="s">
        <v>87</v>
      </c>
      <c r="G641" s="670" t="s">
        <v>88</v>
      </c>
      <c r="H641" s="655"/>
      <c r="I641" s="703"/>
      <c r="J641" s="703"/>
      <c r="K641" s="657">
        <f t="shared" si="18"/>
        <v>0</v>
      </c>
    </row>
    <row r="642" spans="1:11" s="311" customFormat="1" ht="29.25">
      <c r="A642" s="523"/>
      <c r="B642" s="524"/>
      <c r="C642" s="532"/>
      <c r="D642" s="524"/>
      <c r="E642" s="524"/>
      <c r="F642" s="526"/>
      <c r="G642" s="671" t="s">
        <v>775</v>
      </c>
      <c r="H642" s="655">
        <f>SUM(H636)</f>
        <v>69327000</v>
      </c>
      <c r="I642" s="655">
        <f>SUM(I636)</f>
        <v>0</v>
      </c>
      <c r="J642" s="655">
        <f>SUM(J636)</f>
        <v>0</v>
      </c>
      <c r="K642" s="657">
        <f t="shared" si="18"/>
        <v>69327000</v>
      </c>
    </row>
    <row r="643" spans="1:11" s="311" customFormat="1" ht="15">
      <c r="A643" s="763"/>
      <c r="B643" s="764">
        <v>4.06</v>
      </c>
      <c r="C643" s="765"/>
      <c r="D643" s="766"/>
      <c r="E643" s="767"/>
      <c r="F643" s="768"/>
      <c r="G643" s="769" t="s">
        <v>711</v>
      </c>
      <c r="H643" s="770"/>
      <c r="I643" s="771"/>
      <c r="J643" s="771"/>
      <c r="K643" s="657">
        <f t="shared" si="18"/>
        <v>0</v>
      </c>
    </row>
    <row r="644" spans="1:11" s="311" customFormat="1" ht="29.25">
      <c r="A644" s="523"/>
      <c r="B644" s="524"/>
      <c r="C644" s="525" t="s">
        <v>469</v>
      </c>
      <c r="D644" s="809"/>
      <c r="E644" s="524"/>
      <c r="F644" s="526"/>
      <c r="G644" s="723" t="s">
        <v>339</v>
      </c>
      <c r="H644" s="650"/>
      <c r="I644" s="690"/>
      <c r="J644" s="690"/>
      <c r="K644" s="657">
        <f t="shared" si="18"/>
        <v>0</v>
      </c>
    </row>
    <row r="645" spans="1:11" s="311" customFormat="1" ht="42.75" customHeight="1">
      <c r="A645" s="523"/>
      <c r="B645" s="524"/>
      <c r="C645" s="525" t="s">
        <v>694</v>
      </c>
      <c r="D645" s="809"/>
      <c r="E645" s="524"/>
      <c r="F645" s="526"/>
      <c r="G645" s="723" t="s">
        <v>880</v>
      </c>
      <c r="H645" s="650"/>
      <c r="I645" s="690"/>
      <c r="J645" s="690"/>
      <c r="K645" s="657">
        <f t="shared" si="18"/>
        <v>0</v>
      </c>
    </row>
    <row r="646" spans="1:11" s="311" customFormat="1" ht="15">
      <c r="A646" s="576"/>
      <c r="B646" s="577"/>
      <c r="C646" s="563"/>
      <c r="D646" s="664" t="s">
        <v>353</v>
      </c>
      <c r="E646" s="529"/>
      <c r="F646" s="530"/>
      <c r="G646" s="665" t="s">
        <v>82</v>
      </c>
      <c r="H646" s="666"/>
      <c r="I646" s="725"/>
      <c r="J646" s="690"/>
      <c r="K646" s="657">
        <f t="shared" si="18"/>
        <v>0</v>
      </c>
    </row>
    <row r="647" spans="1:11" s="311" customFormat="1" ht="30">
      <c r="A647" s="523"/>
      <c r="B647" s="524"/>
      <c r="C647" s="525"/>
      <c r="D647" s="524"/>
      <c r="E647" s="524">
        <v>186</v>
      </c>
      <c r="F647" s="476">
        <v>411</v>
      </c>
      <c r="G647" s="667" t="s">
        <v>222</v>
      </c>
      <c r="H647" s="534">
        <v>23100000</v>
      </c>
      <c r="I647" s="534"/>
      <c r="J647" s="681"/>
      <c r="K647" s="657">
        <f t="shared" si="18"/>
        <v>23100000</v>
      </c>
    </row>
    <row r="648" spans="1:11" s="311" customFormat="1" ht="30">
      <c r="A648" s="523"/>
      <c r="B648" s="524"/>
      <c r="C648" s="525"/>
      <c r="D648" s="524"/>
      <c r="E648" s="524">
        <v>187</v>
      </c>
      <c r="F648" s="476">
        <v>412</v>
      </c>
      <c r="G648" s="667" t="s">
        <v>287</v>
      </c>
      <c r="H648" s="534">
        <v>3700000</v>
      </c>
      <c r="I648" s="534"/>
      <c r="J648" s="681"/>
      <c r="K648" s="657">
        <f t="shared" si="18"/>
        <v>3700000</v>
      </c>
    </row>
    <row r="649" spans="1:11" s="311" customFormat="1" ht="15">
      <c r="A649" s="523"/>
      <c r="B649" s="524"/>
      <c r="C649" s="525"/>
      <c r="D649" s="524"/>
      <c r="E649" s="524">
        <v>188</v>
      </c>
      <c r="F649" s="476">
        <v>413</v>
      </c>
      <c r="G649" s="667" t="s">
        <v>223</v>
      </c>
      <c r="H649" s="534">
        <v>82000</v>
      </c>
      <c r="I649" s="534"/>
      <c r="J649" s="681"/>
      <c r="K649" s="657"/>
    </row>
    <row r="650" spans="1:11" s="311" customFormat="1" ht="15">
      <c r="A650" s="523"/>
      <c r="B650" s="524"/>
      <c r="C650" s="525"/>
      <c r="D650" s="524"/>
      <c r="E650" s="524">
        <v>189</v>
      </c>
      <c r="F650" s="476">
        <v>414</v>
      </c>
      <c r="G650" s="667" t="s">
        <v>290</v>
      </c>
      <c r="H650" s="534">
        <v>500000</v>
      </c>
      <c r="I650" s="534"/>
      <c r="J650" s="681"/>
      <c r="K650" s="657">
        <f t="shared" si="18"/>
        <v>500000</v>
      </c>
    </row>
    <row r="651" spans="1:11" s="311" customFormat="1" ht="15">
      <c r="A651" s="523"/>
      <c r="B651" s="524"/>
      <c r="C651" s="525"/>
      <c r="D651" s="524"/>
      <c r="E651" s="524">
        <v>190</v>
      </c>
      <c r="F651" s="476">
        <v>415</v>
      </c>
      <c r="G651" s="667" t="s">
        <v>229</v>
      </c>
      <c r="H651" s="534">
        <v>418000</v>
      </c>
      <c r="I651" s="534"/>
      <c r="J651" s="681"/>
      <c r="K651" s="657">
        <f t="shared" si="18"/>
        <v>418000</v>
      </c>
    </row>
    <row r="652" spans="1:11" s="311" customFormat="1" ht="30">
      <c r="A652" s="523"/>
      <c r="B652" s="524"/>
      <c r="C652" s="525"/>
      <c r="D652" s="524"/>
      <c r="E652" s="524">
        <v>191</v>
      </c>
      <c r="F652" s="476">
        <v>416</v>
      </c>
      <c r="G652" s="667" t="s">
        <v>230</v>
      </c>
      <c r="H652" s="534">
        <v>600000</v>
      </c>
      <c r="I652" s="534"/>
      <c r="J652" s="681"/>
      <c r="K652" s="657">
        <f t="shared" si="18"/>
        <v>600000</v>
      </c>
    </row>
    <row r="653" spans="1:11" s="311" customFormat="1" ht="15">
      <c r="A653" s="523"/>
      <c r="B653" s="524"/>
      <c r="C653" s="525"/>
      <c r="D653" s="524"/>
      <c r="E653" s="524">
        <v>192</v>
      </c>
      <c r="F653" s="476">
        <v>421</v>
      </c>
      <c r="G653" s="667" t="s">
        <v>299</v>
      </c>
      <c r="H653" s="534">
        <v>4700000</v>
      </c>
      <c r="I653" s="534"/>
      <c r="J653" s="681"/>
      <c r="K653" s="657">
        <f t="shared" si="18"/>
        <v>4700000</v>
      </c>
    </row>
    <row r="654" spans="1:11" s="311" customFormat="1" ht="15">
      <c r="A654" s="523"/>
      <c r="B654" s="524"/>
      <c r="C654" s="525"/>
      <c r="D654" s="524"/>
      <c r="E654" s="524">
        <v>193</v>
      </c>
      <c r="F654" s="476">
        <v>422</v>
      </c>
      <c r="G654" s="667" t="s">
        <v>300</v>
      </c>
      <c r="H654" s="534">
        <v>10000</v>
      </c>
      <c r="I654" s="534"/>
      <c r="J654" s="681"/>
      <c r="K654" s="657">
        <f t="shared" si="18"/>
        <v>10000</v>
      </c>
    </row>
    <row r="655" spans="1:11" s="311" customFormat="1" ht="15">
      <c r="A655" s="523"/>
      <c r="B655" s="524"/>
      <c r="C655" s="525"/>
      <c r="D655" s="524"/>
      <c r="E655" s="524">
        <v>194</v>
      </c>
      <c r="F655" s="476">
        <v>423</v>
      </c>
      <c r="G655" s="667" t="s">
        <v>301</v>
      </c>
      <c r="H655" s="534">
        <v>2890000</v>
      </c>
      <c r="I655" s="534"/>
      <c r="J655" s="681"/>
      <c r="K655" s="657">
        <f t="shared" si="18"/>
        <v>2890000</v>
      </c>
    </row>
    <row r="656" spans="1:11" s="311" customFormat="1" ht="15">
      <c r="A656" s="523"/>
      <c r="B656" s="524"/>
      <c r="C656" s="525"/>
      <c r="D656" s="524"/>
      <c r="E656" s="524">
        <v>195</v>
      </c>
      <c r="F656" s="476">
        <v>424</v>
      </c>
      <c r="G656" s="667" t="s">
        <v>303</v>
      </c>
      <c r="H656" s="534">
        <v>11500000</v>
      </c>
      <c r="I656" s="534"/>
      <c r="J656" s="681"/>
      <c r="K656" s="657">
        <f t="shared" si="18"/>
        <v>11500000</v>
      </c>
    </row>
    <row r="657" spans="1:11" s="311" customFormat="1" ht="15">
      <c r="A657" s="523"/>
      <c r="B657" s="524"/>
      <c r="C657" s="525"/>
      <c r="D657" s="524"/>
      <c r="E657" s="524">
        <v>196</v>
      </c>
      <c r="F657" s="476">
        <v>425</v>
      </c>
      <c r="G657" s="667" t="s">
        <v>231</v>
      </c>
      <c r="H657" s="534">
        <v>600000</v>
      </c>
      <c r="I657" s="534"/>
      <c r="J657" s="681"/>
      <c r="K657" s="657">
        <f t="shared" si="18"/>
        <v>600000</v>
      </c>
    </row>
    <row r="658" spans="1:11" s="311" customFormat="1" ht="15">
      <c r="A658" s="523"/>
      <c r="B658" s="524"/>
      <c r="C658" s="525"/>
      <c r="D658" s="524"/>
      <c r="E658" s="524">
        <v>197</v>
      </c>
      <c r="F658" s="476">
        <v>426</v>
      </c>
      <c r="G658" s="667" t="s">
        <v>307</v>
      </c>
      <c r="H658" s="534">
        <v>2700000</v>
      </c>
      <c r="I658" s="534"/>
      <c r="J658" s="681"/>
      <c r="K658" s="657">
        <f t="shared" si="18"/>
        <v>2700000</v>
      </c>
    </row>
    <row r="659" spans="1:11" s="311" customFormat="1" ht="30">
      <c r="A659" s="523"/>
      <c r="B659" s="524"/>
      <c r="C659" s="525"/>
      <c r="D659" s="524"/>
      <c r="E659" s="524">
        <v>198</v>
      </c>
      <c r="F659" s="476">
        <v>482</v>
      </c>
      <c r="G659" s="667" t="s">
        <v>234</v>
      </c>
      <c r="H659" s="534">
        <v>50000</v>
      </c>
      <c r="I659" s="534"/>
      <c r="J659" s="681"/>
      <c r="K659" s="657">
        <f t="shared" si="18"/>
        <v>50000</v>
      </c>
    </row>
    <row r="660" spans="1:11" s="311" customFormat="1" ht="15">
      <c r="A660" s="523"/>
      <c r="B660" s="524"/>
      <c r="C660" s="525"/>
      <c r="D660" s="524"/>
      <c r="E660" s="524">
        <v>199</v>
      </c>
      <c r="F660" s="476">
        <v>523</v>
      </c>
      <c r="G660" s="667" t="s">
        <v>147</v>
      </c>
      <c r="H660" s="534">
        <v>0</v>
      </c>
      <c r="I660" s="534"/>
      <c r="J660" s="681"/>
      <c r="K660" s="657">
        <f t="shared" si="18"/>
        <v>0</v>
      </c>
    </row>
    <row r="661" spans="1:11" s="311" customFormat="1" ht="15">
      <c r="A661" s="523"/>
      <c r="B661" s="524"/>
      <c r="C661" s="525"/>
      <c r="D661" s="524"/>
      <c r="E661" s="524">
        <v>200</v>
      </c>
      <c r="F661" s="476">
        <v>512</v>
      </c>
      <c r="G661" s="667" t="s">
        <v>238</v>
      </c>
      <c r="H661" s="534">
        <v>985000</v>
      </c>
      <c r="I661" s="534"/>
      <c r="J661" s="681"/>
      <c r="K661" s="657">
        <f t="shared" si="18"/>
        <v>985000</v>
      </c>
    </row>
    <row r="662" spans="1:11" s="311" customFormat="1" ht="29.25">
      <c r="A662" s="523"/>
      <c r="B662" s="524"/>
      <c r="C662" s="525"/>
      <c r="D662" s="524"/>
      <c r="E662" s="535"/>
      <c r="F662" s="476"/>
      <c r="G662" s="658" t="s">
        <v>430</v>
      </c>
      <c r="H662" s="669"/>
      <c r="I662" s="669"/>
      <c r="J662" s="654"/>
      <c r="K662" s="657">
        <f t="shared" si="18"/>
        <v>0</v>
      </c>
    </row>
    <row r="663" spans="1:11" s="311" customFormat="1" ht="15">
      <c r="A663" s="523"/>
      <c r="B663" s="524"/>
      <c r="C663" s="525"/>
      <c r="D663" s="524"/>
      <c r="E663" s="524"/>
      <c r="F663" s="538" t="s">
        <v>87</v>
      </c>
      <c r="G663" s="670" t="s">
        <v>88</v>
      </c>
      <c r="H663" s="650"/>
      <c r="I663" s="690"/>
      <c r="J663" s="690"/>
      <c r="K663" s="657">
        <f t="shared" si="18"/>
        <v>0</v>
      </c>
    </row>
    <row r="664" spans="1:11" s="311" customFormat="1" ht="15">
      <c r="A664" s="523"/>
      <c r="B664" s="524"/>
      <c r="C664" s="525"/>
      <c r="D664" s="524"/>
      <c r="E664" s="524"/>
      <c r="F664" s="526"/>
      <c r="G664" s="671" t="s">
        <v>340</v>
      </c>
      <c r="H664" s="655">
        <f>SUM(H647:H661)</f>
        <v>51835000</v>
      </c>
      <c r="I664" s="655">
        <f>SUM(I647:I661)</f>
        <v>0</v>
      </c>
      <c r="J664" s="655">
        <f>SUM(J647:J661)</f>
        <v>0</v>
      </c>
      <c r="K664" s="657">
        <f t="shared" si="18"/>
        <v>51835000</v>
      </c>
    </row>
    <row r="665" spans="1:11" s="311" customFormat="1" ht="29.25">
      <c r="A665" s="523"/>
      <c r="B665" s="524"/>
      <c r="C665" s="525"/>
      <c r="D665" s="524"/>
      <c r="E665" s="535"/>
      <c r="F665" s="476"/>
      <c r="G665" s="658" t="s">
        <v>765</v>
      </c>
      <c r="H665" s="655">
        <f>H664</f>
        <v>51835000</v>
      </c>
      <c r="I665" s="655">
        <f>I664</f>
        <v>0</v>
      </c>
      <c r="J665" s="655">
        <f>J664</f>
        <v>0</v>
      </c>
      <c r="K665" s="657">
        <f t="shared" si="18"/>
        <v>51835000</v>
      </c>
    </row>
    <row r="666" spans="1:11" s="311" customFormat="1" ht="15">
      <c r="A666" s="523"/>
      <c r="B666" s="524"/>
      <c r="C666" s="525"/>
      <c r="D666" s="524"/>
      <c r="E666" s="524"/>
      <c r="F666" s="538" t="s">
        <v>87</v>
      </c>
      <c r="G666" s="670" t="s">
        <v>88</v>
      </c>
      <c r="H666" s="655"/>
      <c r="I666" s="655"/>
      <c r="J666" s="655"/>
      <c r="K666" s="657">
        <f t="shared" si="18"/>
        <v>0</v>
      </c>
    </row>
    <row r="667" spans="1:11" s="311" customFormat="1" ht="29.25">
      <c r="A667" s="523"/>
      <c r="B667" s="524"/>
      <c r="C667" s="525"/>
      <c r="D667" s="524"/>
      <c r="E667" s="524"/>
      <c r="F667" s="526"/>
      <c r="G667" s="671" t="s">
        <v>776</v>
      </c>
      <c r="H667" s="655">
        <f>SUM(H664)</f>
        <v>51835000</v>
      </c>
      <c r="I667" s="655">
        <f>SUM(I664)</f>
        <v>0</v>
      </c>
      <c r="J667" s="655">
        <f>SUM(J664)</f>
        <v>0</v>
      </c>
      <c r="K667" s="657">
        <f t="shared" si="18"/>
        <v>51835000</v>
      </c>
    </row>
    <row r="668" spans="1:11" s="311" customFormat="1" ht="15">
      <c r="A668" s="523"/>
      <c r="B668" s="524"/>
      <c r="C668" s="532"/>
      <c r="D668" s="524"/>
      <c r="E668" s="524"/>
      <c r="F668" s="526"/>
      <c r="G668" s="671"/>
      <c r="H668" s="655"/>
      <c r="I668" s="655"/>
      <c r="J668" s="655"/>
      <c r="K668" s="657">
        <f t="shared" si="18"/>
        <v>0</v>
      </c>
    </row>
    <row r="669" spans="1:11" s="311" customFormat="1" ht="15.75" thickBot="1">
      <c r="A669" s="772"/>
      <c r="B669" s="773"/>
      <c r="C669" s="774"/>
      <c r="D669" s="773"/>
      <c r="E669" s="773"/>
      <c r="F669" s="775"/>
      <c r="G669" s="671" t="s">
        <v>712</v>
      </c>
      <c r="H669" s="776">
        <f>SUM(H667+H642+H614+H576+H538+H484+H500)</f>
        <v>602919500</v>
      </c>
      <c r="I669" s="776">
        <f>SUM(I667+I642+I614+I576+I538+I484+I500)</f>
        <v>100000</v>
      </c>
      <c r="J669" s="776">
        <f>SUM(J667+J642+J614+J576+J538+J484+J500)</f>
        <v>0</v>
      </c>
      <c r="K669" s="777">
        <f>SUM(K667+K642+K614+K576+K538+K484+K500)</f>
        <v>603019500</v>
      </c>
    </row>
    <row r="670" spans="1:11" s="311" customFormat="1" ht="15">
      <c r="A670" s="778"/>
      <c r="B670" s="779"/>
      <c r="C670" s="779"/>
      <c r="D670" s="778"/>
      <c r="E670" s="778"/>
      <c r="F670" s="780"/>
      <c r="G670" s="608"/>
      <c r="H670" s="781"/>
      <c r="I670" s="782"/>
      <c r="J670" s="781"/>
      <c r="K670" s="781"/>
    </row>
    <row r="671" spans="1:11" s="311" customFormat="1" ht="15">
      <c r="A671" s="778"/>
      <c r="B671" s="779"/>
      <c r="C671" s="779"/>
      <c r="D671" s="778"/>
      <c r="E671" s="778"/>
      <c r="F671" s="780"/>
      <c r="G671" s="608"/>
      <c r="H671" s="781"/>
      <c r="I671" s="781"/>
      <c r="J671" s="781"/>
      <c r="K671" s="781"/>
    </row>
    <row r="672" spans="1:11" s="311" customFormat="1" ht="15">
      <c r="A672" s="778"/>
      <c r="B672" s="779"/>
      <c r="C672" s="779"/>
      <c r="D672" s="778"/>
      <c r="E672" s="778"/>
      <c r="F672" s="780"/>
      <c r="G672" s="608"/>
      <c r="H672" s="781"/>
      <c r="I672" s="781"/>
      <c r="J672" s="781"/>
      <c r="K672" s="781"/>
    </row>
    <row r="673" spans="1:11" s="311" customFormat="1" ht="15">
      <c r="A673" s="778"/>
      <c r="B673" s="779"/>
      <c r="C673" s="779"/>
      <c r="D673" s="778"/>
      <c r="E673" s="778"/>
      <c r="F673" s="780"/>
      <c r="G673" s="608"/>
      <c r="H673" s="781"/>
      <c r="I673" s="781"/>
      <c r="J673" s="781"/>
      <c r="K673" s="781"/>
    </row>
    <row r="674" spans="1:11" s="311" customFormat="1" ht="15">
      <c r="A674" s="778"/>
      <c r="B674" s="779"/>
      <c r="C674" s="779"/>
      <c r="D674" s="778"/>
      <c r="E674" s="778"/>
      <c r="F674" s="780"/>
      <c r="G674" s="608"/>
      <c r="H674" s="781"/>
      <c r="I674" s="781"/>
      <c r="J674" s="781"/>
      <c r="K674" s="781"/>
    </row>
    <row r="675" spans="1:11" s="311" customFormat="1" ht="15">
      <c r="A675" s="778"/>
      <c r="B675" s="779"/>
      <c r="C675" s="779"/>
      <c r="D675" s="778"/>
      <c r="E675" s="778"/>
      <c r="F675" s="780"/>
      <c r="G675" s="608"/>
      <c r="H675" s="781"/>
      <c r="I675" s="781"/>
      <c r="J675" s="781"/>
      <c r="K675" s="781"/>
    </row>
    <row r="676" spans="1:11" s="311" customFormat="1" ht="15">
      <c r="A676" s="778"/>
      <c r="B676" s="779"/>
      <c r="C676" s="779"/>
      <c r="D676" s="778"/>
      <c r="E676" s="778"/>
      <c r="F676" s="780"/>
      <c r="G676" s="608"/>
      <c r="H676" s="781"/>
      <c r="I676" s="781"/>
      <c r="J676" s="781"/>
      <c r="K676" s="781"/>
    </row>
    <row r="677" spans="1:11" s="311" customFormat="1" ht="15">
      <c r="A677" s="778"/>
      <c r="B677" s="779"/>
      <c r="C677" s="779"/>
      <c r="D677" s="778"/>
      <c r="E677" s="778"/>
      <c r="F677" s="780"/>
      <c r="G677" s="608"/>
      <c r="H677" s="781"/>
      <c r="I677" s="781"/>
      <c r="J677" s="781"/>
      <c r="K677" s="781"/>
    </row>
    <row r="678" spans="1:11" s="311" customFormat="1" ht="15">
      <c r="A678" s="778"/>
      <c r="B678" s="779"/>
      <c r="C678" s="779"/>
      <c r="D678" s="778"/>
      <c r="E678" s="778"/>
      <c r="F678" s="780"/>
      <c r="G678" s="608"/>
      <c r="H678" s="781"/>
      <c r="I678" s="781"/>
      <c r="J678" s="781"/>
      <c r="K678" s="781"/>
    </row>
    <row r="679" spans="1:11" s="311" customFormat="1" ht="15">
      <c r="A679" s="778"/>
      <c r="B679" s="779"/>
      <c r="C679" s="779"/>
      <c r="D679" s="778"/>
      <c r="E679" s="778"/>
      <c r="F679" s="780"/>
      <c r="G679" s="608"/>
      <c r="H679" s="781"/>
      <c r="I679" s="781"/>
      <c r="J679" s="781"/>
      <c r="K679" s="781"/>
    </row>
    <row r="680" spans="1:11" s="311" customFormat="1" ht="15">
      <c r="A680" s="778"/>
      <c r="B680" s="779"/>
      <c r="C680" s="779"/>
      <c r="D680" s="778"/>
      <c r="E680" s="778"/>
      <c r="F680" s="780"/>
      <c r="G680" s="608"/>
      <c r="H680" s="781"/>
      <c r="I680" s="781"/>
      <c r="J680" s="781"/>
      <c r="K680" s="781"/>
    </row>
    <row r="681" spans="1:11" s="311" customFormat="1" ht="15">
      <c r="A681" s="778"/>
      <c r="B681" s="779"/>
      <c r="C681" s="779"/>
      <c r="D681" s="778"/>
      <c r="E681" s="778"/>
      <c r="F681" s="780"/>
      <c r="G681" s="608"/>
      <c r="H681" s="781"/>
      <c r="I681" s="781"/>
      <c r="J681" s="781"/>
      <c r="K681" s="781"/>
    </row>
    <row r="682" spans="1:11" s="311" customFormat="1" ht="15">
      <c r="A682" s="778"/>
      <c r="B682" s="779"/>
      <c r="C682" s="779"/>
      <c r="D682" s="778"/>
      <c r="E682" s="778"/>
      <c r="F682" s="780"/>
      <c r="G682" s="608"/>
      <c r="H682" s="781"/>
      <c r="I682" s="781"/>
      <c r="J682" s="781"/>
      <c r="K682" s="781"/>
    </row>
    <row r="683" spans="1:11" s="311" customFormat="1" ht="15">
      <c r="A683" s="778"/>
      <c r="B683" s="779"/>
      <c r="C683" s="779"/>
      <c r="D683" s="778"/>
      <c r="E683" s="778"/>
      <c r="F683" s="780"/>
      <c r="G683" s="608"/>
      <c r="H683" s="781"/>
      <c r="I683" s="781"/>
      <c r="J683" s="781"/>
      <c r="K683" s="781"/>
    </row>
    <row r="684" spans="1:11" s="311" customFormat="1" ht="15">
      <c r="A684" s="778"/>
      <c r="B684" s="779"/>
      <c r="C684" s="779"/>
      <c r="D684" s="778"/>
      <c r="E684" s="778"/>
      <c r="F684" s="780"/>
      <c r="G684" s="608"/>
      <c r="H684" s="781"/>
      <c r="I684" s="781"/>
      <c r="J684" s="781"/>
      <c r="K684" s="781"/>
    </row>
    <row r="685" spans="1:11" s="311" customFormat="1" ht="15">
      <c r="A685" s="778"/>
      <c r="B685" s="779"/>
      <c r="C685" s="779"/>
      <c r="D685" s="778"/>
      <c r="E685" s="778"/>
      <c r="F685" s="780"/>
      <c r="G685" s="608"/>
      <c r="H685" s="781"/>
      <c r="I685" s="781"/>
      <c r="J685" s="781"/>
      <c r="K685" s="781"/>
    </row>
    <row r="686" spans="1:11" s="311" customFormat="1" ht="15">
      <c r="A686" s="778"/>
      <c r="B686" s="779"/>
      <c r="C686" s="779"/>
      <c r="D686" s="778"/>
      <c r="E686" s="778"/>
      <c r="F686" s="780"/>
      <c r="G686" s="608"/>
      <c r="H686" s="781"/>
      <c r="I686" s="781"/>
      <c r="J686" s="781"/>
      <c r="K686" s="781"/>
    </row>
    <row r="687" spans="1:11" s="311" customFormat="1" ht="15">
      <c r="A687" s="778"/>
      <c r="B687" s="779"/>
      <c r="C687" s="779"/>
      <c r="D687" s="778"/>
      <c r="E687" s="778"/>
      <c r="F687" s="780"/>
      <c r="G687" s="608"/>
      <c r="H687" s="781"/>
      <c r="I687" s="781"/>
      <c r="J687" s="781"/>
      <c r="K687" s="781"/>
    </row>
    <row r="688" spans="1:11" s="311" customFormat="1" ht="15">
      <c r="A688" s="778"/>
      <c r="B688" s="779"/>
      <c r="C688" s="779"/>
      <c r="D688" s="778"/>
      <c r="E688" s="778"/>
      <c r="F688" s="780"/>
      <c r="G688" s="608"/>
      <c r="H688" s="781"/>
      <c r="I688" s="781"/>
      <c r="J688" s="781"/>
      <c r="K688" s="781"/>
    </row>
    <row r="689" spans="1:11" s="311" customFormat="1" ht="15">
      <c r="A689" s="778"/>
      <c r="B689" s="779"/>
      <c r="C689" s="779"/>
      <c r="D689" s="778"/>
      <c r="E689" s="778"/>
      <c r="F689" s="780"/>
      <c r="G689" s="608"/>
      <c r="H689" s="781"/>
      <c r="I689" s="781"/>
      <c r="J689" s="781"/>
      <c r="K689" s="781"/>
    </row>
    <row r="690" spans="1:11" s="311" customFormat="1" ht="15">
      <c r="A690" s="778"/>
      <c r="B690" s="779"/>
      <c r="C690" s="779"/>
      <c r="D690" s="778"/>
      <c r="E690" s="778"/>
      <c r="F690" s="780"/>
      <c r="G690" s="608"/>
      <c r="H690" s="781"/>
      <c r="I690" s="781"/>
      <c r="J690" s="781"/>
      <c r="K690" s="781"/>
    </row>
    <row r="691" spans="1:11" s="311" customFormat="1" ht="15">
      <c r="A691" s="778"/>
      <c r="B691" s="779"/>
      <c r="C691" s="779"/>
      <c r="D691" s="778"/>
      <c r="E691" s="778"/>
      <c r="F691" s="780"/>
      <c r="G691" s="608"/>
      <c r="H691" s="781"/>
      <c r="I691" s="781"/>
      <c r="J691" s="781"/>
      <c r="K691" s="781"/>
    </row>
    <row r="692" spans="1:11" s="311" customFormat="1" ht="15">
      <c r="A692" s="778"/>
      <c r="B692" s="779"/>
      <c r="C692" s="779"/>
      <c r="D692" s="778"/>
      <c r="E692" s="778"/>
      <c r="F692" s="780"/>
      <c r="G692" s="608"/>
      <c r="H692" s="781"/>
      <c r="I692" s="781"/>
      <c r="J692" s="781"/>
      <c r="K692" s="781"/>
    </row>
    <row r="693" spans="1:11" s="311" customFormat="1" ht="15">
      <c r="A693" s="778"/>
      <c r="B693" s="779"/>
      <c r="C693" s="779"/>
      <c r="D693" s="778"/>
      <c r="E693" s="778"/>
      <c r="F693" s="780"/>
      <c r="G693" s="608"/>
      <c r="H693" s="781"/>
      <c r="I693" s="781"/>
      <c r="J693" s="781"/>
      <c r="K693" s="781"/>
    </row>
    <row r="694" spans="1:11" s="311" customFormat="1" ht="15">
      <c r="A694" s="778"/>
      <c r="B694" s="779"/>
      <c r="C694" s="779"/>
      <c r="D694" s="778"/>
      <c r="E694" s="778"/>
      <c r="F694" s="780"/>
      <c r="G694" s="608"/>
      <c r="H694" s="781"/>
      <c r="I694" s="781"/>
      <c r="J694" s="781"/>
      <c r="K694" s="781"/>
    </row>
    <row r="695" spans="1:11" s="311" customFormat="1" ht="15">
      <c r="A695" s="778"/>
      <c r="B695" s="779"/>
      <c r="C695" s="779"/>
      <c r="D695" s="778"/>
      <c r="E695" s="778"/>
      <c r="F695" s="780"/>
      <c r="G695" s="608"/>
      <c r="H695" s="781"/>
      <c r="I695" s="781"/>
      <c r="J695" s="781"/>
      <c r="K695" s="781"/>
    </row>
    <row r="696" spans="1:11" s="311" customFormat="1" ht="15">
      <c r="A696" s="778"/>
      <c r="B696" s="779"/>
      <c r="C696" s="779"/>
      <c r="D696" s="778"/>
      <c r="E696" s="778"/>
      <c r="F696" s="780"/>
      <c r="G696" s="608"/>
      <c r="H696" s="781"/>
      <c r="I696" s="781"/>
      <c r="J696" s="781"/>
      <c r="K696" s="781"/>
    </row>
    <row r="697" spans="1:11" s="311" customFormat="1" ht="15">
      <c r="A697" s="778"/>
      <c r="B697" s="779"/>
      <c r="C697" s="779"/>
      <c r="D697" s="778"/>
      <c r="E697" s="778"/>
      <c r="F697" s="780"/>
      <c r="G697" s="608"/>
      <c r="H697" s="781"/>
      <c r="I697" s="781"/>
      <c r="J697" s="781"/>
      <c r="K697" s="781"/>
    </row>
    <row r="698" spans="1:11" s="311" customFormat="1" ht="15">
      <c r="A698" s="778"/>
      <c r="B698" s="779"/>
      <c r="C698" s="779"/>
      <c r="D698" s="778"/>
      <c r="E698" s="778"/>
      <c r="F698" s="780"/>
      <c r="G698" s="608"/>
      <c r="H698" s="781"/>
      <c r="I698" s="781"/>
      <c r="J698" s="781"/>
      <c r="K698" s="781"/>
    </row>
    <row r="699" spans="1:11" s="311" customFormat="1" ht="15">
      <c r="A699" s="778"/>
      <c r="B699" s="779"/>
      <c r="C699" s="779"/>
      <c r="D699" s="778"/>
      <c r="E699" s="778"/>
      <c r="F699" s="780"/>
      <c r="G699" s="608"/>
      <c r="H699" s="781"/>
      <c r="I699" s="781"/>
      <c r="J699" s="781"/>
      <c r="K699" s="781"/>
    </row>
    <row r="700" spans="1:11" s="311" customFormat="1" ht="15">
      <c r="A700" s="778"/>
      <c r="B700" s="779"/>
      <c r="C700" s="779"/>
      <c r="D700" s="778"/>
      <c r="E700" s="778"/>
      <c r="F700" s="780"/>
      <c r="G700" s="608"/>
      <c r="H700" s="781"/>
      <c r="I700" s="781"/>
      <c r="J700" s="781"/>
      <c r="K700" s="781"/>
    </row>
    <row r="701" spans="1:11" s="311" customFormat="1" ht="15">
      <c r="A701" s="778"/>
      <c r="B701" s="779"/>
      <c r="C701" s="779"/>
      <c r="D701" s="778"/>
      <c r="E701" s="778"/>
      <c r="F701" s="780"/>
      <c r="G701" s="608"/>
      <c r="H701" s="781"/>
      <c r="I701" s="781"/>
      <c r="J701" s="781"/>
      <c r="K701" s="781"/>
    </row>
    <row r="702" spans="1:11" s="311" customFormat="1" ht="15">
      <c r="A702" s="778"/>
      <c r="B702" s="779"/>
      <c r="C702" s="779"/>
      <c r="D702" s="778"/>
      <c r="E702" s="778"/>
      <c r="F702" s="780"/>
      <c r="G702" s="608"/>
      <c r="H702" s="781"/>
      <c r="I702" s="781"/>
      <c r="J702" s="781"/>
      <c r="K702" s="781"/>
    </row>
    <row r="703" spans="1:11" s="311" customFormat="1" ht="15">
      <c r="A703" s="778"/>
      <c r="B703" s="779"/>
      <c r="C703" s="779"/>
      <c r="D703" s="778"/>
      <c r="E703" s="778"/>
      <c r="F703" s="780"/>
      <c r="G703" s="608"/>
      <c r="H703" s="781"/>
      <c r="I703" s="781"/>
      <c r="J703" s="781"/>
      <c r="K703" s="781"/>
    </row>
    <row r="704" spans="1:11" s="311" customFormat="1" ht="15">
      <c r="A704" s="778"/>
      <c r="B704" s="779"/>
      <c r="C704" s="779"/>
      <c r="D704" s="778"/>
      <c r="E704" s="778"/>
      <c r="F704" s="780"/>
      <c r="G704" s="608"/>
      <c r="H704" s="781"/>
      <c r="I704" s="781"/>
      <c r="J704" s="781"/>
      <c r="K704" s="781"/>
    </row>
    <row r="705" spans="1:11" s="311" customFormat="1" ht="15">
      <c r="A705" s="778"/>
      <c r="B705" s="779"/>
      <c r="C705" s="779"/>
      <c r="D705" s="778"/>
      <c r="E705" s="778"/>
      <c r="F705" s="780"/>
      <c r="G705" s="608"/>
      <c r="H705" s="781"/>
      <c r="I705" s="781"/>
      <c r="J705" s="781"/>
      <c r="K705" s="781"/>
    </row>
    <row r="706" spans="1:11" s="311" customFormat="1" ht="15">
      <c r="A706" s="778"/>
      <c r="B706" s="779"/>
      <c r="C706" s="779"/>
      <c r="D706" s="778"/>
      <c r="E706" s="778"/>
      <c r="F706" s="780"/>
      <c r="G706" s="608"/>
      <c r="H706" s="781"/>
      <c r="I706" s="781"/>
      <c r="J706" s="781"/>
      <c r="K706" s="781"/>
    </row>
    <row r="707" spans="1:11" s="311" customFormat="1" ht="15">
      <c r="A707" s="778"/>
      <c r="B707" s="779"/>
      <c r="C707" s="779"/>
      <c r="D707" s="778"/>
      <c r="E707" s="778"/>
      <c r="F707" s="780"/>
      <c r="G707" s="608"/>
      <c r="H707" s="781"/>
      <c r="I707" s="781"/>
      <c r="J707" s="781"/>
      <c r="K707" s="781"/>
    </row>
    <row r="708" spans="1:11" s="311" customFormat="1" ht="15">
      <c r="A708" s="778"/>
      <c r="B708" s="779"/>
      <c r="C708" s="779"/>
      <c r="D708" s="778"/>
      <c r="E708" s="778"/>
      <c r="F708" s="780"/>
      <c r="G708" s="608"/>
      <c r="H708" s="781"/>
      <c r="I708" s="781"/>
      <c r="J708" s="781"/>
      <c r="K708" s="781"/>
    </row>
    <row r="709" spans="1:11" s="311" customFormat="1" ht="15">
      <c r="A709" s="778"/>
      <c r="B709" s="779"/>
      <c r="C709" s="779"/>
      <c r="D709" s="778"/>
      <c r="E709" s="778"/>
      <c r="F709" s="780"/>
      <c r="G709" s="608"/>
      <c r="H709" s="781"/>
      <c r="I709" s="781"/>
      <c r="J709" s="781"/>
      <c r="K709" s="781"/>
    </row>
    <row r="710" spans="1:11" s="311" customFormat="1" ht="15">
      <c r="A710" s="778"/>
      <c r="B710" s="779"/>
      <c r="C710" s="779"/>
      <c r="D710" s="778"/>
      <c r="E710" s="778"/>
      <c r="F710" s="780"/>
      <c r="G710" s="608"/>
      <c r="H710" s="781"/>
      <c r="I710" s="781"/>
      <c r="J710" s="781"/>
      <c r="K710" s="781"/>
    </row>
    <row r="711" spans="1:11" s="311" customFormat="1" ht="15">
      <c r="A711" s="778"/>
      <c r="B711" s="779"/>
      <c r="C711" s="779"/>
      <c r="D711" s="778"/>
      <c r="E711" s="778"/>
      <c r="F711" s="780"/>
      <c r="G711" s="608"/>
      <c r="H711" s="781"/>
      <c r="I711" s="781"/>
      <c r="J711" s="781"/>
      <c r="K711" s="781"/>
    </row>
    <row r="712" spans="1:11" s="311" customFormat="1" ht="15">
      <c r="A712" s="778"/>
      <c r="B712" s="779"/>
      <c r="C712" s="779"/>
      <c r="D712" s="778"/>
      <c r="E712" s="778"/>
      <c r="F712" s="780"/>
      <c r="G712" s="608"/>
      <c r="H712" s="781"/>
      <c r="I712" s="781"/>
      <c r="J712" s="781"/>
      <c r="K712" s="781"/>
    </row>
    <row r="713" spans="1:11" s="311" customFormat="1" ht="15">
      <c r="A713" s="778"/>
      <c r="B713" s="779"/>
      <c r="C713" s="779"/>
      <c r="D713" s="778"/>
      <c r="E713" s="778"/>
      <c r="F713" s="780"/>
      <c r="G713" s="608"/>
      <c r="H713" s="781"/>
      <c r="I713" s="781"/>
      <c r="J713" s="781"/>
      <c r="K713" s="781"/>
    </row>
    <row r="714" spans="1:11" s="311" customFormat="1" ht="15">
      <c r="A714" s="778"/>
      <c r="B714" s="779"/>
      <c r="C714" s="779"/>
      <c r="D714" s="778"/>
      <c r="E714" s="778"/>
      <c r="F714" s="780"/>
      <c r="G714" s="608"/>
      <c r="H714" s="781"/>
      <c r="I714" s="781"/>
      <c r="J714" s="781"/>
      <c r="K714" s="781"/>
    </row>
    <row r="715" spans="1:11" s="311" customFormat="1" ht="15">
      <c r="A715" s="778"/>
      <c r="B715" s="779"/>
      <c r="C715" s="779"/>
      <c r="D715" s="778"/>
      <c r="E715" s="778"/>
      <c r="F715" s="780"/>
      <c r="G715" s="608"/>
      <c r="H715" s="781"/>
      <c r="I715" s="781"/>
      <c r="J715" s="781"/>
      <c r="K715" s="781"/>
    </row>
    <row r="716" spans="1:11" s="311" customFormat="1" ht="15">
      <c r="A716" s="778"/>
      <c r="B716" s="779"/>
      <c r="C716" s="779"/>
      <c r="D716" s="778"/>
      <c r="E716" s="778"/>
      <c r="F716" s="780"/>
      <c r="G716" s="608"/>
      <c r="H716" s="781"/>
      <c r="I716" s="781"/>
      <c r="J716" s="781"/>
      <c r="K716" s="781"/>
    </row>
    <row r="717" spans="1:11" s="311" customFormat="1" ht="15">
      <c r="A717" s="778"/>
      <c r="B717" s="779"/>
      <c r="C717" s="779"/>
      <c r="D717" s="778"/>
      <c r="E717" s="778"/>
      <c r="F717" s="780"/>
      <c r="G717" s="608"/>
      <c r="H717" s="781"/>
      <c r="I717" s="781"/>
      <c r="J717" s="781"/>
      <c r="K717" s="781"/>
    </row>
    <row r="718" spans="1:11" s="311" customFormat="1" ht="15">
      <c r="A718" s="778"/>
      <c r="B718" s="779"/>
      <c r="C718" s="779"/>
      <c r="D718" s="778"/>
      <c r="E718" s="778"/>
      <c r="F718" s="780"/>
      <c r="G718" s="608"/>
      <c r="H718" s="781"/>
      <c r="I718" s="781"/>
      <c r="J718" s="781"/>
      <c r="K718" s="781"/>
    </row>
    <row r="719" spans="1:11" s="311" customFormat="1" ht="15">
      <c r="A719" s="778"/>
      <c r="B719" s="779"/>
      <c r="C719" s="779"/>
      <c r="D719" s="778"/>
      <c r="E719" s="778"/>
      <c r="F719" s="780"/>
      <c r="G719" s="608"/>
      <c r="H719" s="781"/>
      <c r="I719" s="781"/>
      <c r="J719" s="781"/>
      <c r="K719" s="781"/>
    </row>
    <row r="720" spans="1:11" s="311" customFormat="1" ht="15">
      <c r="A720" s="778"/>
      <c r="B720" s="779"/>
      <c r="C720" s="779"/>
      <c r="D720" s="778"/>
      <c r="E720" s="778"/>
      <c r="F720" s="780"/>
      <c r="G720" s="608"/>
      <c r="H720" s="781"/>
      <c r="I720" s="781"/>
      <c r="J720" s="781"/>
      <c r="K720" s="781"/>
    </row>
    <row r="721" spans="1:11" s="311" customFormat="1" ht="15">
      <c r="A721" s="778"/>
      <c r="B721" s="779"/>
      <c r="C721" s="779"/>
      <c r="D721" s="778"/>
      <c r="E721" s="778"/>
      <c r="F721" s="780"/>
      <c r="G721" s="608"/>
      <c r="H721" s="781"/>
      <c r="I721" s="781"/>
      <c r="J721" s="781"/>
      <c r="K721" s="781"/>
    </row>
    <row r="722" spans="1:11" s="311" customFormat="1" ht="15">
      <c r="A722" s="778"/>
      <c r="B722" s="779"/>
      <c r="C722" s="779"/>
      <c r="D722" s="778"/>
      <c r="E722" s="778"/>
      <c r="F722" s="780"/>
      <c r="G722" s="608"/>
      <c r="H722" s="781"/>
      <c r="I722" s="781"/>
      <c r="J722" s="781"/>
      <c r="K722" s="781"/>
    </row>
    <row r="723" spans="1:11" s="311" customFormat="1" ht="15">
      <c r="A723" s="778"/>
      <c r="B723" s="779"/>
      <c r="C723" s="779"/>
      <c r="D723" s="778"/>
      <c r="E723" s="778"/>
      <c r="F723" s="780"/>
      <c r="G723" s="608"/>
      <c r="H723" s="781"/>
      <c r="I723" s="781"/>
      <c r="J723" s="781"/>
      <c r="K723" s="781"/>
    </row>
    <row r="724" spans="1:11" s="311" customFormat="1" ht="15">
      <c r="A724" s="778"/>
      <c r="B724" s="779"/>
      <c r="C724" s="779"/>
      <c r="D724" s="778"/>
      <c r="E724" s="778"/>
      <c r="F724" s="780"/>
      <c r="G724" s="608"/>
      <c r="H724" s="781"/>
      <c r="I724" s="781"/>
      <c r="J724" s="781"/>
      <c r="K724" s="781"/>
    </row>
    <row r="725" spans="1:11" s="311" customFormat="1" ht="15">
      <c r="A725" s="778"/>
      <c r="B725" s="779"/>
      <c r="C725" s="779"/>
      <c r="D725" s="778"/>
      <c r="E725" s="778"/>
      <c r="F725" s="780"/>
      <c r="G725" s="608"/>
      <c r="H725" s="781"/>
      <c r="I725" s="781"/>
      <c r="J725" s="781"/>
      <c r="K725" s="781"/>
    </row>
    <row r="726" spans="1:11" s="311" customFormat="1" ht="15">
      <c r="A726" s="778"/>
      <c r="B726" s="779"/>
      <c r="C726" s="779"/>
      <c r="D726" s="778"/>
      <c r="E726" s="778"/>
      <c r="F726" s="780"/>
      <c r="G726" s="608"/>
      <c r="H726" s="781"/>
      <c r="I726" s="781"/>
      <c r="J726" s="781"/>
      <c r="K726" s="781"/>
    </row>
    <row r="727" spans="1:11" s="311" customFormat="1" ht="15">
      <c r="A727" s="778"/>
      <c r="B727" s="779"/>
      <c r="C727" s="779"/>
      <c r="D727" s="778"/>
      <c r="E727" s="778"/>
      <c r="F727" s="780"/>
      <c r="G727" s="608"/>
      <c r="H727" s="781"/>
      <c r="I727" s="781"/>
      <c r="J727" s="781"/>
      <c r="K727" s="781"/>
    </row>
    <row r="728" spans="1:11" s="311" customFormat="1" ht="15">
      <c r="A728" s="778"/>
      <c r="B728" s="779"/>
      <c r="C728" s="779"/>
      <c r="D728" s="778"/>
      <c r="E728" s="778"/>
      <c r="F728" s="780"/>
      <c r="G728" s="608"/>
      <c r="H728" s="781"/>
      <c r="I728" s="781"/>
      <c r="J728" s="781"/>
      <c r="K728" s="781"/>
    </row>
    <row r="729" spans="1:11" s="311" customFormat="1" ht="15">
      <c r="A729" s="778"/>
      <c r="B729" s="779"/>
      <c r="C729" s="779"/>
      <c r="D729" s="778"/>
      <c r="E729" s="778"/>
      <c r="F729" s="780"/>
      <c r="G729" s="608"/>
      <c r="H729" s="781"/>
      <c r="I729" s="781"/>
      <c r="J729" s="781"/>
      <c r="K729" s="781"/>
    </row>
    <row r="730" spans="1:11" s="311" customFormat="1" ht="15">
      <c r="A730" s="778"/>
      <c r="B730" s="779"/>
      <c r="C730" s="779"/>
      <c r="D730" s="778"/>
      <c r="E730" s="778"/>
      <c r="F730" s="780"/>
      <c r="G730" s="608"/>
      <c r="H730" s="781"/>
      <c r="I730" s="781"/>
      <c r="J730" s="781"/>
      <c r="K730" s="781"/>
    </row>
    <row r="731" spans="1:11" s="311" customFormat="1" ht="15">
      <c r="A731" s="778"/>
      <c r="B731" s="779"/>
      <c r="C731" s="779"/>
      <c r="D731" s="778"/>
      <c r="E731" s="778"/>
      <c r="F731" s="780"/>
      <c r="G731" s="608"/>
      <c r="H731" s="781"/>
      <c r="I731" s="781"/>
      <c r="J731" s="781"/>
      <c r="K731" s="781"/>
    </row>
    <row r="732" spans="1:11" s="311" customFormat="1" ht="15">
      <c r="A732" s="778"/>
      <c r="B732" s="779"/>
      <c r="C732" s="779"/>
      <c r="D732" s="778"/>
      <c r="E732" s="778"/>
      <c r="F732" s="780"/>
      <c r="G732" s="608"/>
      <c r="H732" s="781"/>
      <c r="I732" s="781"/>
      <c r="J732" s="781"/>
      <c r="K732" s="781"/>
    </row>
    <row r="733" spans="1:11" s="311" customFormat="1" ht="15">
      <c r="A733" s="778"/>
      <c r="B733" s="779"/>
      <c r="C733" s="779"/>
      <c r="D733" s="778"/>
      <c r="E733" s="778"/>
      <c r="F733" s="780"/>
      <c r="G733" s="608"/>
      <c r="H733" s="781"/>
      <c r="I733" s="781"/>
      <c r="J733" s="781"/>
      <c r="K733" s="781"/>
    </row>
    <row r="734" spans="1:11" s="311" customFormat="1" ht="15">
      <c r="A734" s="778"/>
      <c r="B734" s="779"/>
      <c r="C734" s="779"/>
      <c r="D734" s="778"/>
      <c r="E734" s="778"/>
      <c r="F734" s="780"/>
      <c r="G734" s="608"/>
      <c r="H734" s="781"/>
      <c r="I734" s="781"/>
      <c r="J734" s="781"/>
      <c r="K734" s="781"/>
    </row>
    <row r="735" spans="1:11" s="311" customFormat="1" ht="15">
      <c r="A735" s="778"/>
      <c r="B735" s="779"/>
      <c r="C735" s="779"/>
      <c r="D735" s="778"/>
      <c r="E735" s="778"/>
      <c r="F735" s="780"/>
      <c r="G735" s="608"/>
      <c r="H735" s="781"/>
      <c r="I735" s="781"/>
      <c r="J735" s="781"/>
      <c r="K735" s="781"/>
    </row>
    <row r="736" spans="1:11" s="311" customFormat="1" ht="15">
      <c r="A736" s="778"/>
      <c r="B736" s="779"/>
      <c r="C736" s="779"/>
      <c r="D736" s="778"/>
      <c r="E736" s="778"/>
      <c r="F736" s="780"/>
      <c r="G736" s="608"/>
      <c r="H736" s="781"/>
      <c r="I736" s="781"/>
      <c r="J736" s="781"/>
      <c r="K736" s="781"/>
    </row>
    <row r="737" spans="1:11" s="311" customFormat="1" ht="15">
      <c r="A737" s="778"/>
      <c r="B737" s="779"/>
      <c r="C737" s="779"/>
      <c r="D737" s="778"/>
      <c r="E737" s="778"/>
      <c r="F737" s="780"/>
      <c r="G737" s="608"/>
      <c r="H737" s="781"/>
      <c r="I737" s="781"/>
      <c r="J737" s="781"/>
      <c r="K737" s="781"/>
    </row>
    <row r="738" spans="1:11" s="311" customFormat="1" ht="15">
      <c r="A738" s="778"/>
      <c r="B738" s="779"/>
      <c r="C738" s="779"/>
      <c r="D738" s="778"/>
      <c r="E738" s="778"/>
      <c r="F738" s="780"/>
      <c r="G738" s="608"/>
      <c r="H738" s="781"/>
      <c r="I738" s="781"/>
      <c r="J738" s="781"/>
      <c r="K738" s="781"/>
    </row>
    <row r="739" spans="1:11" s="311" customFormat="1" ht="15">
      <c r="A739" s="778"/>
      <c r="B739" s="779"/>
      <c r="C739" s="779"/>
      <c r="D739" s="778"/>
      <c r="E739" s="778"/>
      <c r="F739" s="780"/>
      <c r="G739" s="608"/>
      <c r="H739" s="781"/>
      <c r="I739" s="781"/>
      <c r="J739" s="781"/>
      <c r="K739" s="781"/>
    </row>
    <row r="740" spans="1:11" s="311" customFormat="1" ht="15">
      <c r="A740" s="778"/>
      <c r="B740" s="779"/>
      <c r="C740" s="779"/>
      <c r="D740" s="778"/>
      <c r="E740" s="778"/>
      <c r="F740" s="780"/>
      <c r="G740" s="608"/>
      <c r="H740" s="781"/>
      <c r="I740" s="781"/>
      <c r="J740" s="781"/>
      <c r="K740" s="781"/>
    </row>
    <row r="741" spans="1:11" s="311" customFormat="1" ht="15">
      <c r="A741" s="778"/>
      <c r="B741" s="779"/>
      <c r="C741" s="779"/>
      <c r="D741" s="778"/>
      <c r="E741" s="778"/>
      <c r="F741" s="780"/>
      <c r="G741" s="608"/>
      <c r="H741" s="781"/>
      <c r="I741" s="781"/>
      <c r="J741" s="781"/>
      <c r="K741" s="781"/>
    </row>
    <row r="742" spans="1:11" s="311" customFormat="1" ht="15">
      <c r="A742" s="778"/>
      <c r="B742" s="779"/>
      <c r="C742" s="779"/>
      <c r="D742" s="778"/>
      <c r="E742" s="778"/>
      <c r="F742" s="780"/>
      <c r="G742" s="608"/>
      <c r="H742" s="781"/>
      <c r="I742" s="781"/>
      <c r="J742" s="781"/>
      <c r="K742" s="781"/>
    </row>
    <row r="743" spans="1:11" s="311" customFormat="1" ht="15">
      <c r="A743" s="778"/>
      <c r="B743" s="779"/>
      <c r="C743" s="779"/>
      <c r="D743" s="778"/>
      <c r="E743" s="778"/>
      <c r="F743" s="780"/>
      <c r="G743" s="608"/>
      <c r="H743" s="781"/>
      <c r="I743" s="781"/>
      <c r="J743" s="781"/>
      <c r="K743" s="781"/>
    </row>
    <row r="744" spans="1:11" s="311" customFormat="1" ht="15">
      <c r="A744" s="778"/>
      <c r="B744" s="779"/>
      <c r="C744" s="779"/>
      <c r="D744" s="778"/>
      <c r="E744" s="778"/>
      <c r="F744" s="780"/>
      <c r="G744" s="608"/>
      <c r="H744" s="781"/>
      <c r="I744" s="781"/>
      <c r="J744" s="781"/>
      <c r="K744" s="781"/>
    </row>
    <row r="745" spans="1:11" s="311" customFormat="1" ht="15">
      <c r="A745" s="778"/>
      <c r="B745" s="779"/>
      <c r="C745" s="779"/>
      <c r="D745" s="778"/>
      <c r="E745" s="778"/>
      <c r="F745" s="780"/>
      <c r="G745" s="608"/>
      <c r="H745" s="781"/>
      <c r="I745" s="781"/>
      <c r="J745" s="781"/>
      <c r="K745" s="781"/>
    </row>
    <row r="746" spans="1:11" s="311" customFormat="1" ht="15">
      <c r="A746" s="778"/>
      <c r="B746" s="779"/>
      <c r="C746" s="779"/>
      <c r="D746" s="778"/>
      <c r="E746" s="778"/>
      <c r="F746" s="780"/>
      <c r="G746" s="608"/>
      <c r="H746" s="781"/>
      <c r="I746" s="781"/>
      <c r="J746" s="781"/>
      <c r="K746" s="781"/>
    </row>
    <row r="747" spans="1:11" s="311" customFormat="1" ht="15">
      <c r="A747" s="778"/>
      <c r="B747" s="779"/>
      <c r="C747" s="779"/>
      <c r="D747" s="778"/>
      <c r="E747" s="778"/>
      <c r="F747" s="780"/>
      <c r="G747" s="608"/>
      <c r="H747" s="781"/>
      <c r="I747" s="781"/>
      <c r="J747" s="781"/>
      <c r="K747" s="781"/>
    </row>
    <row r="748" spans="1:11" s="311" customFormat="1" ht="15">
      <c r="A748" s="778"/>
      <c r="B748" s="779"/>
      <c r="C748" s="779"/>
      <c r="D748" s="778"/>
      <c r="E748" s="778"/>
      <c r="F748" s="780"/>
      <c r="G748" s="608"/>
      <c r="H748" s="781"/>
      <c r="I748" s="781"/>
      <c r="J748" s="781"/>
      <c r="K748" s="781"/>
    </row>
    <row r="749" spans="1:11" s="311" customFormat="1" ht="15">
      <c r="A749" s="778"/>
      <c r="B749" s="779"/>
      <c r="C749" s="779"/>
      <c r="D749" s="778"/>
      <c r="E749" s="778"/>
      <c r="F749" s="780"/>
      <c r="G749" s="608"/>
      <c r="H749" s="781"/>
      <c r="I749" s="781"/>
      <c r="J749" s="781"/>
      <c r="K749" s="781"/>
    </row>
    <row r="750" spans="1:11" s="311" customFormat="1" ht="15">
      <c r="A750" s="778"/>
      <c r="B750" s="779"/>
      <c r="C750" s="779"/>
      <c r="D750" s="778"/>
      <c r="E750" s="778"/>
      <c r="F750" s="780"/>
      <c r="G750" s="608"/>
      <c r="H750" s="781"/>
      <c r="I750" s="781"/>
      <c r="J750" s="781"/>
      <c r="K750" s="781"/>
    </row>
    <row r="751" spans="1:11" s="311" customFormat="1" ht="15">
      <c r="A751" s="778"/>
      <c r="B751" s="779"/>
      <c r="C751" s="779"/>
      <c r="D751" s="778"/>
      <c r="E751" s="778"/>
      <c r="F751" s="780"/>
      <c r="G751" s="608"/>
      <c r="H751" s="781"/>
      <c r="I751" s="781"/>
      <c r="J751" s="781"/>
      <c r="K751" s="781"/>
    </row>
    <row r="752" spans="1:11" s="311" customFormat="1" ht="15">
      <c r="A752" s="778"/>
      <c r="B752" s="779"/>
      <c r="C752" s="779"/>
      <c r="D752" s="778"/>
      <c r="E752" s="778"/>
      <c r="F752" s="780"/>
      <c r="G752" s="608"/>
      <c r="H752" s="781"/>
      <c r="I752" s="781"/>
      <c r="J752" s="781"/>
      <c r="K752" s="781"/>
    </row>
    <row r="753" spans="1:11" s="311" customFormat="1" ht="15">
      <c r="A753" s="778"/>
      <c r="B753" s="779"/>
      <c r="C753" s="779"/>
      <c r="D753" s="778"/>
      <c r="E753" s="778"/>
      <c r="F753" s="780"/>
      <c r="G753" s="608"/>
      <c r="H753" s="781"/>
      <c r="I753" s="781"/>
      <c r="J753" s="781"/>
      <c r="K753" s="781"/>
    </row>
    <row r="754" spans="1:11" s="311" customFormat="1" ht="15">
      <c r="A754" s="778"/>
      <c r="B754" s="779"/>
      <c r="C754" s="779"/>
      <c r="D754" s="778"/>
      <c r="E754" s="778"/>
      <c r="F754" s="780"/>
      <c r="G754" s="608"/>
      <c r="H754" s="781"/>
      <c r="I754" s="781"/>
      <c r="J754" s="781"/>
      <c r="K754" s="781"/>
    </row>
    <row r="755" spans="1:11" s="311" customFormat="1" ht="15">
      <c r="A755" s="778"/>
      <c r="B755" s="779"/>
      <c r="C755" s="779"/>
      <c r="D755" s="778"/>
      <c r="E755" s="778"/>
      <c r="F755" s="780"/>
      <c r="G755" s="608"/>
      <c r="H755" s="781"/>
      <c r="I755" s="781"/>
      <c r="J755" s="781"/>
      <c r="K755" s="781"/>
    </row>
    <row r="756" spans="1:11" s="311" customFormat="1" ht="15">
      <c r="A756" s="778"/>
      <c r="B756" s="779"/>
      <c r="C756" s="779"/>
      <c r="D756" s="778"/>
      <c r="E756" s="778"/>
      <c r="F756" s="780"/>
      <c r="G756" s="608"/>
      <c r="H756" s="781"/>
      <c r="I756" s="781"/>
      <c r="J756" s="781"/>
      <c r="K756" s="781"/>
    </row>
    <row r="757" spans="1:11" s="311" customFormat="1" ht="15">
      <c r="A757" s="778"/>
      <c r="B757" s="779"/>
      <c r="C757" s="779"/>
      <c r="D757" s="778"/>
      <c r="E757" s="778"/>
      <c r="F757" s="780"/>
      <c r="G757" s="608"/>
      <c r="H757" s="781"/>
      <c r="I757" s="781"/>
      <c r="J757" s="781"/>
      <c r="K757" s="781"/>
    </row>
    <row r="758" spans="1:11" s="311" customFormat="1" ht="15">
      <c r="A758" s="778"/>
      <c r="B758" s="779"/>
      <c r="C758" s="779"/>
      <c r="D758" s="778"/>
      <c r="E758" s="778"/>
      <c r="F758" s="780"/>
      <c r="G758" s="608"/>
      <c r="H758" s="781"/>
      <c r="I758" s="781"/>
      <c r="J758" s="781"/>
      <c r="K758" s="781"/>
    </row>
    <row r="759" spans="1:11" s="311" customFormat="1" ht="15">
      <c r="A759" s="778"/>
      <c r="B759" s="779"/>
      <c r="C759" s="779"/>
      <c r="D759" s="778"/>
      <c r="E759" s="778"/>
      <c r="F759" s="780"/>
      <c r="G759" s="608"/>
      <c r="H759" s="781"/>
      <c r="I759" s="781"/>
      <c r="J759" s="781"/>
      <c r="K759" s="781"/>
    </row>
    <row r="760" spans="1:11" s="311" customFormat="1" ht="15">
      <c r="A760" s="778"/>
      <c r="B760" s="779"/>
      <c r="C760" s="779"/>
      <c r="D760" s="778"/>
      <c r="E760" s="778"/>
      <c r="F760" s="780"/>
      <c r="G760" s="608"/>
      <c r="H760" s="781"/>
      <c r="I760" s="781"/>
      <c r="J760" s="781"/>
      <c r="K760" s="781"/>
    </row>
    <row r="761" spans="1:11" s="311" customFormat="1" ht="15">
      <c r="A761" s="778"/>
      <c r="B761" s="779"/>
      <c r="C761" s="779"/>
      <c r="D761" s="778"/>
      <c r="E761" s="778"/>
      <c r="F761" s="780"/>
      <c r="G761" s="608"/>
      <c r="H761" s="781"/>
      <c r="I761" s="781"/>
      <c r="J761" s="781"/>
      <c r="K761" s="781"/>
    </row>
    <row r="762" spans="1:11" s="311" customFormat="1" ht="15">
      <c r="A762" s="778"/>
      <c r="B762" s="779"/>
      <c r="C762" s="779"/>
      <c r="D762" s="778"/>
      <c r="E762" s="778"/>
      <c r="F762" s="780"/>
      <c r="G762" s="608"/>
      <c r="H762" s="781"/>
      <c r="I762" s="781"/>
      <c r="J762" s="781"/>
      <c r="K762" s="781"/>
    </row>
    <row r="763" spans="1:11" s="311" customFormat="1" ht="15">
      <c r="A763" s="778"/>
      <c r="B763" s="779"/>
      <c r="C763" s="779"/>
      <c r="D763" s="778"/>
      <c r="E763" s="778"/>
      <c r="F763" s="780"/>
      <c r="G763" s="608"/>
      <c r="H763" s="781"/>
      <c r="I763" s="781"/>
      <c r="J763" s="781"/>
      <c r="K763" s="781"/>
    </row>
    <row r="764" spans="1:11" s="311" customFormat="1" ht="15">
      <c r="A764" s="778"/>
      <c r="B764" s="779"/>
      <c r="C764" s="779"/>
      <c r="D764" s="778"/>
      <c r="E764" s="778"/>
      <c r="F764" s="780"/>
      <c r="G764" s="608"/>
      <c r="H764" s="781"/>
      <c r="I764" s="781"/>
      <c r="J764" s="781"/>
      <c r="K764" s="781"/>
    </row>
    <row r="765" spans="1:11" s="311" customFormat="1" ht="15">
      <c r="A765" s="778"/>
      <c r="B765" s="779"/>
      <c r="C765" s="779"/>
      <c r="D765" s="778"/>
      <c r="E765" s="778"/>
      <c r="F765" s="780"/>
      <c r="G765" s="608"/>
      <c r="H765" s="781"/>
      <c r="I765" s="781"/>
      <c r="J765" s="781"/>
      <c r="K765" s="781"/>
    </row>
    <row r="766" spans="1:11" s="311" customFormat="1" ht="15">
      <c r="A766" s="778"/>
      <c r="B766" s="779"/>
      <c r="C766" s="779"/>
      <c r="D766" s="778"/>
      <c r="E766" s="778"/>
      <c r="F766" s="780"/>
      <c r="G766" s="608"/>
      <c r="H766" s="781"/>
      <c r="I766" s="781"/>
      <c r="J766" s="781"/>
      <c r="K766" s="781"/>
    </row>
    <row r="767" spans="1:11" s="311" customFormat="1" ht="15">
      <c r="A767" s="778"/>
      <c r="B767" s="779"/>
      <c r="C767" s="779"/>
      <c r="D767" s="778"/>
      <c r="E767" s="778"/>
      <c r="F767" s="780"/>
      <c r="G767" s="608"/>
      <c r="H767" s="781"/>
      <c r="I767" s="781"/>
      <c r="J767" s="781"/>
      <c r="K767" s="781"/>
    </row>
    <row r="768" spans="1:11" s="311" customFormat="1" ht="15">
      <c r="A768" s="778"/>
      <c r="B768" s="779"/>
      <c r="C768" s="779"/>
      <c r="D768" s="778"/>
      <c r="E768" s="778"/>
      <c r="F768" s="780"/>
      <c r="G768" s="608"/>
      <c r="H768" s="781"/>
      <c r="I768" s="781"/>
      <c r="J768" s="781"/>
      <c r="K768" s="781"/>
    </row>
    <row r="769" spans="1:11" s="311" customFormat="1" ht="15">
      <c r="A769" s="778"/>
      <c r="B769" s="779"/>
      <c r="C769" s="779"/>
      <c r="D769" s="778"/>
      <c r="E769" s="778"/>
      <c r="F769" s="780"/>
      <c r="G769" s="608"/>
      <c r="H769" s="781"/>
      <c r="I769" s="781"/>
      <c r="J769" s="781"/>
      <c r="K769" s="781"/>
    </row>
    <row r="770" spans="1:11" s="311" customFormat="1" ht="15">
      <c r="A770" s="778"/>
      <c r="B770" s="779"/>
      <c r="C770" s="779"/>
      <c r="D770" s="778"/>
      <c r="E770" s="778"/>
      <c r="F770" s="780"/>
      <c r="G770" s="608"/>
      <c r="H770" s="781"/>
      <c r="I770" s="781"/>
      <c r="J770" s="781"/>
      <c r="K770" s="781"/>
    </row>
    <row r="771" spans="1:11" s="311" customFormat="1" ht="15">
      <c r="A771" s="778"/>
      <c r="B771" s="779"/>
      <c r="C771" s="779"/>
      <c r="D771" s="778"/>
      <c r="E771" s="778"/>
      <c r="F771" s="780"/>
      <c r="G771" s="608"/>
      <c r="H771" s="781"/>
      <c r="I771" s="781"/>
      <c r="J771" s="781"/>
      <c r="K771" s="781"/>
    </row>
    <row r="772" spans="1:11" s="311" customFormat="1" ht="15">
      <c r="A772" s="778"/>
      <c r="B772" s="779"/>
      <c r="C772" s="779"/>
      <c r="D772" s="778"/>
      <c r="E772" s="778"/>
      <c r="F772" s="780"/>
      <c r="G772" s="608"/>
      <c r="H772" s="781"/>
      <c r="I772" s="781"/>
      <c r="J772" s="781"/>
      <c r="K772" s="781"/>
    </row>
    <row r="773" spans="1:11" s="311" customFormat="1" ht="15">
      <c r="A773" s="778"/>
      <c r="B773" s="779"/>
      <c r="C773" s="779"/>
      <c r="D773" s="778"/>
      <c r="E773" s="778"/>
      <c r="F773" s="780"/>
      <c r="G773" s="608"/>
      <c r="H773" s="781"/>
      <c r="I773" s="781"/>
      <c r="J773" s="781"/>
      <c r="K773" s="781"/>
    </row>
    <row r="774" spans="1:11" s="311" customFormat="1" ht="15">
      <c r="A774" s="778"/>
      <c r="B774" s="779"/>
      <c r="C774" s="779"/>
      <c r="D774" s="778"/>
      <c r="E774" s="778"/>
      <c r="F774" s="780"/>
      <c r="G774" s="608"/>
      <c r="H774" s="781"/>
      <c r="I774" s="781"/>
      <c r="J774" s="781"/>
      <c r="K774" s="781"/>
    </row>
    <row r="775" spans="1:11" s="311" customFormat="1" ht="15">
      <c r="A775" s="778"/>
      <c r="B775" s="779"/>
      <c r="C775" s="779"/>
      <c r="D775" s="778"/>
      <c r="E775" s="778"/>
      <c r="F775" s="780"/>
      <c r="G775" s="608"/>
      <c r="H775" s="781"/>
      <c r="I775" s="781"/>
      <c r="J775" s="781"/>
      <c r="K775" s="781"/>
    </row>
    <row r="776" spans="1:11" s="311" customFormat="1" ht="15">
      <c r="A776" s="778"/>
      <c r="B776" s="779"/>
      <c r="C776" s="779"/>
      <c r="D776" s="778"/>
      <c r="E776" s="778"/>
      <c r="F776" s="780"/>
      <c r="G776" s="608"/>
      <c r="H776" s="781"/>
      <c r="I776" s="781"/>
      <c r="J776" s="781"/>
      <c r="K776" s="781"/>
    </row>
    <row r="777" spans="1:11" s="311" customFormat="1" ht="15">
      <c r="A777" s="778"/>
      <c r="B777" s="779"/>
      <c r="C777" s="779"/>
      <c r="D777" s="778"/>
      <c r="E777" s="778"/>
      <c r="F777" s="780"/>
      <c r="G777" s="608"/>
      <c r="H777" s="781"/>
      <c r="I777" s="781"/>
      <c r="J777" s="781"/>
      <c r="K777" s="781"/>
    </row>
    <row r="778" spans="1:11" s="311" customFormat="1" ht="15">
      <c r="A778" s="778"/>
      <c r="B778" s="779"/>
      <c r="C778" s="779"/>
      <c r="D778" s="778"/>
      <c r="E778" s="778"/>
      <c r="F778" s="780"/>
      <c r="G778" s="608"/>
      <c r="H778" s="781"/>
      <c r="I778" s="781"/>
      <c r="J778" s="781"/>
      <c r="K778" s="781"/>
    </row>
    <row r="779" spans="1:11" s="311" customFormat="1" ht="15">
      <c r="A779" s="778"/>
      <c r="B779" s="779"/>
      <c r="C779" s="779"/>
      <c r="D779" s="778"/>
      <c r="E779" s="778"/>
      <c r="F779" s="780"/>
      <c r="G779" s="608"/>
      <c r="H779" s="781"/>
      <c r="I779" s="781"/>
      <c r="J779" s="781"/>
      <c r="K779" s="781"/>
    </row>
    <row r="780" spans="1:11" s="311" customFormat="1" ht="15">
      <c r="A780" s="778"/>
      <c r="B780" s="779"/>
      <c r="C780" s="779"/>
      <c r="D780" s="778"/>
      <c r="E780" s="778"/>
      <c r="F780" s="780"/>
      <c r="G780" s="608"/>
      <c r="H780" s="781"/>
      <c r="I780" s="781"/>
      <c r="J780" s="781"/>
      <c r="K780" s="781"/>
    </row>
    <row r="781" spans="1:11" s="311" customFormat="1" ht="15">
      <c r="A781" s="778"/>
      <c r="B781" s="779"/>
      <c r="C781" s="779"/>
      <c r="D781" s="778"/>
      <c r="E781" s="778"/>
      <c r="F781" s="780"/>
      <c r="G781" s="608"/>
      <c r="H781" s="781"/>
      <c r="I781" s="781"/>
      <c r="J781" s="781"/>
      <c r="K781" s="781"/>
    </row>
    <row r="782" spans="1:11" s="311" customFormat="1" ht="15">
      <c r="A782" s="778"/>
      <c r="B782" s="779"/>
      <c r="C782" s="779"/>
      <c r="D782" s="778"/>
      <c r="E782" s="778"/>
      <c r="F782" s="780"/>
      <c r="G782" s="608"/>
      <c r="H782" s="781"/>
      <c r="I782" s="781"/>
      <c r="J782" s="781"/>
      <c r="K782" s="781"/>
    </row>
    <row r="783" spans="1:11" s="311" customFormat="1" ht="15">
      <c r="A783" s="778"/>
      <c r="B783" s="779"/>
      <c r="C783" s="779"/>
      <c r="D783" s="778"/>
      <c r="E783" s="778"/>
      <c r="F783" s="780"/>
      <c r="G783" s="608"/>
      <c r="H783" s="781"/>
      <c r="I783" s="781"/>
      <c r="J783" s="781"/>
      <c r="K783" s="781"/>
    </row>
    <row r="784" spans="1:11" s="311" customFormat="1" ht="15">
      <c r="A784" s="778"/>
      <c r="B784" s="779"/>
      <c r="C784" s="779"/>
      <c r="D784" s="778"/>
      <c r="E784" s="778"/>
      <c r="F784" s="780"/>
      <c r="G784" s="608"/>
      <c r="H784" s="781"/>
      <c r="I784" s="781"/>
      <c r="J784" s="781"/>
      <c r="K784" s="781"/>
    </row>
    <row r="785" spans="1:11" s="311" customFormat="1" ht="15">
      <c r="A785" s="778"/>
      <c r="B785" s="779"/>
      <c r="C785" s="779"/>
      <c r="D785" s="778"/>
      <c r="E785" s="778"/>
      <c r="F785" s="780"/>
      <c r="G785" s="608"/>
      <c r="H785" s="781"/>
      <c r="I785" s="781"/>
      <c r="J785" s="781"/>
      <c r="K785" s="781"/>
    </row>
    <row r="786" spans="1:11" s="311" customFormat="1" ht="15">
      <c r="A786" s="778"/>
      <c r="B786" s="779"/>
      <c r="C786" s="779"/>
      <c r="D786" s="778"/>
      <c r="E786" s="778"/>
      <c r="F786" s="780"/>
      <c r="G786" s="608"/>
      <c r="H786" s="781"/>
      <c r="I786" s="781"/>
      <c r="J786" s="781"/>
      <c r="K786" s="781"/>
    </row>
    <row r="787" spans="1:11" s="311" customFormat="1" ht="15">
      <c r="A787" s="778"/>
      <c r="B787" s="779"/>
      <c r="C787" s="779"/>
      <c r="D787" s="778"/>
      <c r="E787" s="778"/>
      <c r="F787" s="780"/>
      <c r="G787" s="608"/>
      <c r="H787" s="781"/>
      <c r="I787" s="781"/>
      <c r="J787" s="781"/>
      <c r="K787" s="781"/>
    </row>
    <row r="788" spans="1:11" s="311" customFormat="1" ht="15">
      <c r="A788" s="778"/>
      <c r="B788" s="779"/>
      <c r="C788" s="779"/>
      <c r="D788" s="778"/>
      <c r="E788" s="778"/>
      <c r="F788" s="780"/>
      <c r="G788" s="608"/>
      <c r="H788" s="781"/>
      <c r="I788" s="781"/>
      <c r="J788" s="781"/>
      <c r="K788" s="781"/>
    </row>
    <row r="789" spans="1:11" s="311" customFormat="1" ht="15">
      <c r="A789" s="778"/>
      <c r="B789" s="779"/>
      <c r="C789" s="779"/>
      <c r="D789" s="778"/>
      <c r="E789" s="778"/>
      <c r="F789" s="780"/>
      <c r="G789" s="608"/>
      <c r="H789" s="781"/>
      <c r="I789" s="781"/>
      <c r="J789" s="781"/>
      <c r="K789" s="781"/>
    </row>
    <row r="790" spans="1:11" s="311" customFormat="1" ht="15">
      <c r="A790" s="778"/>
      <c r="B790" s="779"/>
      <c r="C790" s="779"/>
      <c r="D790" s="778"/>
      <c r="E790" s="778"/>
      <c r="F790" s="780"/>
      <c r="G790" s="608"/>
      <c r="H790" s="781"/>
      <c r="I790" s="781"/>
      <c r="J790" s="781"/>
      <c r="K790" s="781"/>
    </row>
    <row r="791" spans="1:11" s="311" customFormat="1" ht="15">
      <c r="A791" s="778"/>
      <c r="B791" s="779"/>
      <c r="C791" s="779"/>
      <c r="D791" s="778"/>
      <c r="E791" s="778"/>
      <c r="F791" s="780"/>
      <c r="G791" s="608"/>
      <c r="H791" s="781"/>
      <c r="I791" s="781"/>
      <c r="J791" s="781"/>
      <c r="K791" s="781"/>
    </row>
    <row r="792" spans="1:11" s="311" customFormat="1" ht="15">
      <c r="A792" s="778"/>
      <c r="B792" s="779"/>
      <c r="C792" s="779"/>
      <c r="D792" s="778"/>
      <c r="E792" s="778"/>
      <c r="F792" s="780"/>
      <c r="G792" s="608"/>
      <c r="H792" s="781"/>
      <c r="I792" s="781"/>
      <c r="J792" s="781"/>
      <c r="K792" s="781"/>
    </row>
    <row r="793" spans="1:11" s="311" customFormat="1" ht="15">
      <c r="A793" s="778"/>
      <c r="B793" s="779"/>
      <c r="C793" s="779"/>
      <c r="D793" s="778"/>
      <c r="E793" s="778"/>
      <c r="F793" s="780"/>
      <c r="G793" s="608"/>
      <c r="H793" s="781"/>
      <c r="I793" s="781"/>
      <c r="J793" s="781"/>
      <c r="K793" s="781"/>
    </row>
    <row r="794" spans="1:11" s="311" customFormat="1" ht="15">
      <c r="A794" s="778"/>
      <c r="B794" s="779"/>
      <c r="C794" s="779"/>
      <c r="D794" s="778"/>
      <c r="E794" s="778"/>
      <c r="F794" s="780"/>
      <c r="G794" s="608"/>
      <c r="H794" s="781"/>
      <c r="I794" s="781"/>
      <c r="J794" s="781"/>
      <c r="K794" s="781"/>
    </row>
    <row r="795" spans="1:11" s="311" customFormat="1" ht="15">
      <c r="A795" s="778"/>
      <c r="B795" s="779"/>
      <c r="C795" s="779"/>
      <c r="D795" s="778"/>
      <c r="E795" s="778"/>
      <c r="F795" s="780"/>
      <c r="G795" s="608"/>
      <c r="H795" s="781"/>
      <c r="I795" s="781"/>
      <c r="J795" s="781"/>
      <c r="K795" s="781"/>
    </row>
    <row r="796" spans="1:11" s="311" customFormat="1" ht="15">
      <c r="A796" s="778"/>
      <c r="B796" s="779"/>
      <c r="C796" s="779"/>
      <c r="D796" s="778"/>
      <c r="E796" s="778"/>
      <c r="F796" s="780"/>
      <c r="G796" s="608"/>
      <c r="H796" s="781"/>
      <c r="I796" s="781"/>
      <c r="J796" s="781"/>
      <c r="K796" s="781"/>
    </row>
    <row r="797" spans="1:11" s="311" customFormat="1" ht="15">
      <c r="A797" s="778"/>
      <c r="B797" s="779"/>
      <c r="C797" s="779"/>
      <c r="D797" s="778"/>
      <c r="E797" s="778"/>
      <c r="F797" s="780"/>
      <c r="G797" s="608"/>
      <c r="H797" s="781"/>
      <c r="I797" s="781"/>
      <c r="J797" s="781"/>
      <c r="K797" s="781"/>
    </row>
    <row r="798" spans="1:11" s="311" customFormat="1" ht="15">
      <c r="A798" s="778"/>
      <c r="B798" s="779"/>
      <c r="C798" s="779"/>
      <c r="D798" s="778"/>
      <c r="E798" s="778"/>
      <c r="F798" s="780"/>
      <c r="G798" s="608"/>
      <c r="H798" s="781"/>
      <c r="I798" s="781"/>
      <c r="J798" s="781"/>
      <c r="K798" s="781"/>
    </row>
    <row r="799" spans="1:11" s="311" customFormat="1" ht="15">
      <c r="A799" s="778"/>
      <c r="B799" s="779"/>
      <c r="C799" s="779"/>
      <c r="D799" s="778"/>
      <c r="E799" s="778"/>
      <c r="F799" s="780"/>
      <c r="G799" s="608"/>
      <c r="H799" s="781"/>
      <c r="I799" s="781"/>
      <c r="J799" s="781"/>
      <c r="K799" s="781"/>
    </row>
    <row r="800" spans="1:11" s="311" customFormat="1" ht="15">
      <c r="A800" s="778"/>
      <c r="B800" s="779"/>
      <c r="C800" s="779"/>
      <c r="D800" s="778"/>
      <c r="E800" s="778"/>
      <c r="F800" s="780"/>
      <c r="G800" s="608"/>
      <c r="H800" s="781"/>
      <c r="I800" s="781"/>
      <c r="J800" s="781"/>
      <c r="K800" s="781"/>
    </row>
    <row r="801" spans="1:11" s="311" customFormat="1" ht="15">
      <c r="A801" s="778"/>
      <c r="B801" s="779"/>
      <c r="C801" s="779"/>
      <c r="D801" s="778"/>
      <c r="E801" s="778"/>
      <c r="F801" s="780"/>
      <c r="G801" s="608"/>
      <c r="H801" s="781"/>
      <c r="I801" s="781"/>
      <c r="J801" s="781"/>
      <c r="K801" s="781"/>
    </row>
    <row r="802" spans="1:11" s="311" customFormat="1" ht="15">
      <c r="A802" s="778"/>
      <c r="B802" s="779"/>
      <c r="C802" s="779"/>
      <c r="D802" s="778"/>
      <c r="E802" s="778"/>
      <c r="F802" s="780"/>
      <c r="G802" s="608"/>
      <c r="H802" s="781"/>
      <c r="I802" s="781"/>
      <c r="J802" s="781"/>
      <c r="K802" s="781"/>
    </row>
    <row r="803" spans="1:11" s="311" customFormat="1" ht="15">
      <c r="A803" s="778"/>
      <c r="B803" s="779"/>
      <c r="C803" s="779"/>
      <c r="D803" s="778"/>
      <c r="E803" s="778"/>
      <c r="F803" s="780"/>
      <c r="G803" s="608"/>
      <c r="H803" s="781"/>
      <c r="I803" s="781"/>
      <c r="J803" s="781"/>
      <c r="K803" s="781"/>
    </row>
    <row r="804" spans="1:11" s="311" customFormat="1" ht="15">
      <c r="A804" s="778"/>
      <c r="B804" s="779"/>
      <c r="C804" s="779"/>
      <c r="D804" s="778"/>
      <c r="E804" s="778"/>
      <c r="F804" s="780"/>
      <c r="G804" s="608"/>
      <c r="H804" s="781"/>
      <c r="I804" s="781"/>
      <c r="J804" s="781"/>
      <c r="K804" s="781"/>
    </row>
    <row r="805" spans="1:11" s="311" customFormat="1" ht="15">
      <c r="A805" s="778"/>
      <c r="B805" s="779"/>
      <c r="C805" s="779"/>
      <c r="D805" s="778"/>
      <c r="E805" s="778"/>
      <c r="F805" s="780"/>
      <c r="G805" s="608"/>
      <c r="H805" s="781"/>
      <c r="I805" s="781"/>
      <c r="J805" s="781"/>
      <c r="K805" s="781"/>
    </row>
    <row r="806" spans="1:11" s="311" customFormat="1" ht="15">
      <c r="A806" s="778"/>
      <c r="B806" s="779"/>
      <c r="C806" s="779"/>
      <c r="D806" s="778"/>
      <c r="E806" s="778"/>
      <c r="F806" s="780"/>
      <c r="G806" s="608"/>
      <c r="H806" s="781"/>
      <c r="I806" s="781"/>
      <c r="J806" s="781"/>
      <c r="K806" s="781"/>
    </row>
    <row r="807" spans="1:11" s="311" customFormat="1" ht="15">
      <c r="A807" s="778"/>
      <c r="B807" s="779"/>
      <c r="C807" s="779"/>
      <c r="D807" s="778"/>
      <c r="E807" s="778"/>
      <c r="F807" s="780"/>
      <c r="G807" s="608"/>
      <c r="H807" s="781"/>
      <c r="I807" s="781"/>
      <c r="J807" s="781"/>
      <c r="K807" s="781"/>
    </row>
    <row r="808" spans="1:11" s="311" customFormat="1" ht="15">
      <c r="A808" s="778"/>
      <c r="B808" s="779"/>
      <c r="C808" s="779"/>
      <c r="D808" s="778"/>
      <c r="E808" s="778"/>
      <c r="F808" s="780"/>
      <c r="G808" s="608"/>
      <c r="H808" s="781"/>
      <c r="I808" s="781"/>
      <c r="J808" s="781"/>
      <c r="K808" s="781"/>
    </row>
    <row r="809" spans="1:11" s="311" customFormat="1" ht="15">
      <c r="A809" s="778"/>
      <c r="B809" s="779"/>
      <c r="C809" s="779"/>
      <c r="D809" s="778"/>
      <c r="E809" s="778"/>
      <c r="F809" s="780"/>
      <c r="G809" s="608"/>
      <c r="H809" s="781"/>
      <c r="I809" s="781"/>
      <c r="J809" s="781"/>
      <c r="K809" s="781"/>
    </row>
    <row r="810" spans="1:11" s="311" customFormat="1" ht="15">
      <c r="A810" s="778"/>
      <c r="B810" s="779"/>
      <c r="C810" s="779"/>
      <c r="D810" s="778"/>
      <c r="E810" s="778"/>
      <c r="F810" s="780"/>
      <c r="G810" s="608"/>
      <c r="H810" s="781"/>
      <c r="I810" s="781"/>
      <c r="J810" s="781"/>
      <c r="K810" s="781"/>
    </row>
    <row r="811" spans="1:11" ht="15">
      <c r="A811" s="778"/>
      <c r="B811" s="779"/>
      <c r="C811" s="779"/>
      <c r="D811" s="778"/>
      <c r="E811" s="778"/>
      <c r="F811" s="780"/>
      <c r="G811" s="608"/>
      <c r="H811" s="781"/>
      <c r="I811" s="781"/>
      <c r="J811" s="781"/>
      <c r="K811" s="781"/>
    </row>
    <row r="812" ht="15">
      <c r="G812" s="787"/>
    </row>
  </sheetData>
  <sheetProtection/>
  <autoFilter ref="F1:F812"/>
  <mergeCells count="19">
    <mergeCell ref="L290:M293"/>
    <mergeCell ref="M7:Z7"/>
    <mergeCell ref="D1:F1"/>
    <mergeCell ref="G1:K1"/>
    <mergeCell ref="G113:H113"/>
    <mergeCell ref="G200:H200"/>
    <mergeCell ref="G239:H239"/>
    <mergeCell ref="C208:D208"/>
    <mergeCell ref="G218:H218"/>
    <mergeCell ref="G326:H326"/>
    <mergeCell ref="G409:H409"/>
    <mergeCell ref="C279:D279"/>
    <mergeCell ref="C6:D6"/>
    <mergeCell ref="C25:D25"/>
    <mergeCell ref="C47:D47"/>
    <mergeCell ref="G230:H230"/>
    <mergeCell ref="G176:H176"/>
    <mergeCell ref="C315:D315"/>
    <mergeCell ref="C288:D288"/>
  </mergeCells>
  <printOptions gridLines="1"/>
  <pageMargins left="0.2" right="0.21" top="0.52" bottom="0.26" header="0.26" footer="0.2"/>
  <pageSetup horizontalDpi="600" verticalDpi="600" orientation="portrait" scale="70" r:id="rId3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LPA</dc:creator>
  <cp:keywords/>
  <dc:description/>
  <cp:lastModifiedBy>Windows User</cp:lastModifiedBy>
  <cp:lastPrinted>2023-05-30T07:39:22Z</cp:lastPrinted>
  <dcterms:created xsi:type="dcterms:W3CDTF">2014-09-23T08:37:30Z</dcterms:created>
  <dcterms:modified xsi:type="dcterms:W3CDTF">2023-10-23T12:50:17Z</dcterms:modified>
  <cp:category/>
  <cp:version/>
  <cp:contentType/>
  <cp:contentStatus/>
</cp:coreProperties>
</file>